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6285" tabRatio="598" activeTab="0"/>
  </bookViews>
  <sheets>
    <sheet name="บันทึกข้อความ" sheetId="1" r:id="rId1"/>
    <sheet name="งบทดลอง" sheetId="2" r:id="rId2"/>
    <sheet name="หมาย1" sheetId="3" r:id="rId3"/>
    <sheet name="หมาย2" sheetId="4" r:id="rId4"/>
    <sheet name="หมายเหตุ3" sheetId="5" r:id="rId5"/>
    <sheet name="หมายเหตุ4" sheetId="6" r:id="rId6"/>
    <sheet name="กระทบยอดเงินฝาก" sheetId="7" r:id="rId7"/>
    <sheet name="รับ-จ่ายเงินสด" sheetId="8" r:id="rId8"/>
    <sheet name="กระดาษทำการกระทบยอด" sheetId="9" r:id="rId9"/>
  </sheets>
  <definedNames>
    <definedName name="_xlfn.BAHTTEXT" hidden="1">#NAME?</definedName>
    <definedName name="_xlnm.Print_Area" localSheetId="7">'รับ-จ่ายเงินสด'!$A$1:$H$136</definedName>
  </definedNames>
  <calcPr fullCalcOnLoad="1"/>
</workbook>
</file>

<file path=xl/sharedStrings.xml><?xml version="1.0" encoding="utf-8"?>
<sst xmlns="http://schemas.openxmlformats.org/spreadsheetml/2006/main" count="582" uniqueCount="381">
  <si>
    <t xml:space="preserve"> -โครงการสร้างหลักประกันรายได้ให้แก่ผู้สูงอายุ</t>
  </si>
  <si>
    <t xml:space="preserve"> - โครงการสนับสนุนการเสริมสร้างสวัสดิการทางสังคมให้แก่คนพิการหรือทุพลภาพ</t>
  </si>
  <si>
    <t xml:space="preserve"> - ค่าตอบแทนครูผู้ดูแลเด็กศูนย์พัฒนาเด็กเล็ก</t>
  </si>
  <si>
    <t xml:space="preserve">บัญชีเงินฝากธนาคารกรุงไทย (ออมทรัพย์) </t>
  </si>
  <si>
    <t>0224</t>
  </si>
  <si>
    <t>รับ</t>
  </si>
  <si>
    <t>จ่าย</t>
  </si>
  <si>
    <t>คงเหลือ</t>
  </si>
  <si>
    <t>ลูกหนี้เงินยืมเงินสะสม</t>
  </si>
  <si>
    <t>ลูกหนี้เงินยืมเงินงบประมาณ</t>
  </si>
  <si>
    <t>704</t>
  </si>
  <si>
    <t>5100</t>
  </si>
  <si>
    <t>5120</t>
  </si>
  <si>
    <t>5250</t>
  </si>
  <si>
    <t>5300</t>
  </si>
  <si>
    <t>5450</t>
  </si>
  <si>
    <t>บัญชีเงินทุนสำรองเงินสะสม</t>
  </si>
  <si>
    <t xml:space="preserve"> -3-</t>
  </si>
  <si>
    <t xml:space="preserve"> -2-</t>
  </si>
  <si>
    <t>รายจ่ายอื่น</t>
  </si>
  <si>
    <t xml:space="preserve">     ชื่อองค์การบริหารส่วนตำบลโคกตูม</t>
  </si>
  <si>
    <t xml:space="preserve">      อำเภอประโคนชัย  จังหวัดบุรีรัมย์</t>
  </si>
  <si>
    <t>รายงาน รับ - จ่าย เงินสด</t>
  </si>
  <si>
    <t>จนถึงปัจจุบัน</t>
  </si>
  <si>
    <t>เกิดขึ้นจริง</t>
  </si>
  <si>
    <t>รหัส</t>
  </si>
  <si>
    <t>บาท</t>
  </si>
  <si>
    <t>บัญชี</t>
  </si>
  <si>
    <t>ยอดยกมา</t>
  </si>
  <si>
    <t>ภาษีอากร</t>
  </si>
  <si>
    <t>0100</t>
  </si>
  <si>
    <t>ค่าธรรมเนียม ค่าปรับและใบอนุญาต</t>
  </si>
  <si>
    <t>0120</t>
  </si>
  <si>
    <t>รายได้จากทรัพย์สิน</t>
  </si>
  <si>
    <t>0200</t>
  </si>
  <si>
    <t>รายได้จากสาธารณูปโภคและการพาณิชย์</t>
  </si>
  <si>
    <t>0250</t>
  </si>
  <si>
    <t>รายได้เบ็ดเตล็ด</t>
  </si>
  <si>
    <t>0300</t>
  </si>
  <si>
    <t>รายได้จากทุน</t>
  </si>
  <si>
    <t>0350</t>
  </si>
  <si>
    <t>ภาษีจัดสรร</t>
  </si>
  <si>
    <t>1000</t>
  </si>
  <si>
    <t>เงินอุดหนุน</t>
  </si>
  <si>
    <t>2000</t>
  </si>
  <si>
    <t>900</t>
  </si>
  <si>
    <t>090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</si>
  <si>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</si>
  <si>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</si>
  <si>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</si>
  <si>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</si>
  <si>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</si>
  <si>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ค่าใช้สอย</t>
  </si>
  <si>
    <t>ค่าวัสดุ</t>
  </si>
  <si>
    <t>5270</t>
  </si>
  <si>
    <t>ค่าสาธารณูปโภค</t>
  </si>
  <si>
    <t>ค่าครุภัณฑ์</t>
  </si>
  <si>
    <t>ค่าที่ดินและสิ่งก่อสร้าง</t>
  </si>
  <si>
    <t>5500</t>
  </si>
  <si>
    <t>รายจ่ายค้างจ่าย</t>
  </si>
  <si>
    <t>600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</si>
  <si>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</si>
  <si>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</si>
  <si>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</si>
  <si>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</si>
  <si>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</si>
  <si>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0101</t>
  </si>
  <si>
    <t>0102</t>
  </si>
  <si>
    <t>0103</t>
  </si>
  <si>
    <t>0121</t>
  </si>
  <si>
    <t xml:space="preserve"> -ค่าธรรมเนียมเกี่ยวกับการควบคุมการฆ่าสัตว์และจำหน่ายเนื้อสัตว์</t>
  </si>
  <si>
    <t>0122</t>
  </si>
  <si>
    <t>0140</t>
  </si>
  <si>
    <t>0203</t>
  </si>
  <si>
    <t>0301</t>
  </si>
  <si>
    <t>1001</t>
  </si>
  <si>
    <t>1002</t>
  </si>
  <si>
    <t>1004</t>
  </si>
  <si>
    <t>1005</t>
  </si>
  <si>
    <t>1006</t>
  </si>
  <si>
    <t>1010</t>
  </si>
  <si>
    <t>1011</t>
  </si>
  <si>
    <t>1013</t>
  </si>
  <si>
    <t xml:space="preserve"> -ค่าธรรมเนียมจดทะเบียนสิทธิและนิติกรรมที่ดิน</t>
  </si>
  <si>
    <t>2002</t>
  </si>
  <si>
    <t>หมวด/ประเภท</t>
  </si>
  <si>
    <t xml:space="preserve">   องค์การบริหารส่วนตำบลโคกตูม  อำเภอประโคนชัย  จังหวัดบุรีรัมย์</t>
  </si>
  <si>
    <t>รายการ</t>
  </si>
  <si>
    <t>รหัสบัญชี</t>
  </si>
  <si>
    <t>เดบิต</t>
  </si>
  <si>
    <t>เครดิต</t>
  </si>
  <si>
    <t>บัญชีเงินสด</t>
  </si>
  <si>
    <t>บัญชีเงินฝากธนาคาร ธ.ก.ส. (ออมทรัพย์)</t>
  </si>
  <si>
    <t>บัญชีเงินฝากธนาคาร ธ.ก.ส. (ประจำ)</t>
  </si>
  <si>
    <t>บัญชีเงินฝากธนาคาร ธ.ก.ส. (ออมทรัพย์) บัญชีที่ 2</t>
  </si>
  <si>
    <t>บัญชีงบกลาง</t>
  </si>
  <si>
    <t>บัญชีเงินเดือน</t>
  </si>
  <si>
    <t>บัญชีค่าจ้างประจำ</t>
  </si>
  <si>
    <t>บัญชีค่าตอบแทน</t>
  </si>
  <si>
    <t>บัญชีค่าใช้สอย</t>
  </si>
  <si>
    <t>บัญชีค่าวัสดุ</t>
  </si>
  <si>
    <t>บัญชีค่าครุภัณฑ์</t>
  </si>
  <si>
    <t>บัญชีค่าสาธารณูปโภค</t>
  </si>
  <si>
    <t>บัญชีเงินอุดหนุน</t>
  </si>
  <si>
    <t>บัญชีที่ดินและสิ่งก่อสร้าง</t>
  </si>
  <si>
    <t>บัญชีเงินสะสม</t>
  </si>
  <si>
    <t>010</t>
  </si>
  <si>
    <t>-</t>
  </si>
  <si>
    <t>องค์การบริหารส่วนตำบลโคกตูม  อำเภอประโคนชัย  จังหวัดบุรีรัมย์</t>
  </si>
  <si>
    <t>นายกองค์การบริหารส่วนตำบลโคกตูม</t>
  </si>
  <si>
    <t>บัญชีเงินฝากธนาคารกรุงไทย (กระแสรายวัน)</t>
  </si>
  <si>
    <t>เงินค่าใช้จ่ายภาษีบำรุงท้องที่ 5%</t>
  </si>
  <si>
    <t>เงินส่วนลดภาษีบำรุงท้องที่ 6%</t>
  </si>
  <si>
    <t>เงินภาษีหัก ณ ที่จ่าย</t>
  </si>
  <si>
    <t>เงินมัดจำประกันสัญญา</t>
  </si>
  <si>
    <t xml:space="preserve">       งบทดลอง </t>
  </si>
  <si>
    <t>0211</t>
  </si>
  <si>
    <t>0221</t>
  </si>
  <si>
    <t>0222</t>
  </si>
  <si>
    <t>5000</t>
  </si>
  <si>
    <t>700</t>
  </si>
  <si>
    <t>ประมาณการ</t>
  </si>
  <si>
    <t>รายรับจริง</t>
  </si>
  <si>
    <t xml:space="preserve"> -ภาษีโรงเรือนและที่ดิน</t>
  </si>
  <si>
    <t xml:space="preserve"> -ภาษีบำรุงท้องที่ </t>
  </si>
  <si>
    <t xml:space="preserve"> -อากรฆ่าสัตว์</t>
  </si>
  <si>
    <t xml:space="preserve"> -ค่าธรรมเนียมใบอนุญาตขายสุรา</t>
  </si>
  <si>
    <t xml:space="preserve"> -ค่าปรับผิดสัญญา</t>
  </si>
  <si>
    <t xml:space="preserve"> -ดอกเบี้ยเงินฝากธนาคาร</t>
  </si>
  <si>
    <t xml:space="preserve"> -ค่าแบบแปลนและเอกสารสอบราคา</t>
  </si>
  <si>
    <t xml:space="preserve"> -ภาษีและค่าธรรมเนียมรถยนต์หรือล้อเลื่อน</t>
  </si>
  <si>
    <t xml:space="preserve"> -ภาษีธุรกิจเฉพาะ</t>
  </si>
  <si>
    <t xml:space="preserve"> -ภาษีสุรา</t>
  </si>
  <si>
    <t xml:space="preserve"> -ภาษีสรรพสามิต</t>
  </si>
  <si>
    <t xml:space="preserve"> -ค่าภาคหลวงแร่</t>
  </si>
  <si>
    <t xml:space="preserve"> -ค่าภาคหลวงปิโตเลียม</t>
  </si>
  <si>
    <t xml:space="preserve"> -เงินอุดหนุนทั่วไป</t>
  </si>
  <si>
    <t>รวมรายรับทั้งสิ้น</t>
  </si>
  <si>
    <t>รายได้จัดเก็บเอง (ยอดรวม)</t>
  </si>
  <si>
    <t>หมวดภาษีอากร  (ยอดรวม)</t>
  </si>
  <si>
    <t>หมวดค่าธรรมเนียม ค่าปรับและใบอนุญาต(ยอดรวม)</t>
  </si>
  <si>
    <t xml:space="preserve"> หมวดรายได้จากทรัพย์สิน (ยอดรวม)</t>
  </si>
  <si>
    <t>หมวดรายได้จากสาธารณูปโภคและการพาณิชย์(ยอดรวม)</t>
  </si>
  <si>
    <t>หมวดรายได้เบ็ดเตล็ด (ยอดรวม)</t>
  </si>
  <si>
    <t>รายได้ที่รัฐบาลเก็บและจัดสรรให้ อบต. (ยอดรวม)</t>
  </si>
  <si>
    <t>รายได้ที่รัฐบาลอุดหนุนให้ อบต. (ยอดรวม)</t>
  </si>
  <si>
    <t>หมวดเงินอุดหนุน (ยอดรวม)</t>
  </si>
  <si>
    <t>เดือนนี้</t>
  </si>
  <si>
    <t>เงินรายได้แผ่นดิน</t>
  </si>
  <si>
    <t xml:space="preserve"> 6000</t>
  </si>
  <si>
    <t>6500</t>
  </si>
  <si>
    <t>บัญชีเงินฝากธนาคารออมสิน (ประจำ)</t>
  </si>
  <si>
    <t>0231</t>
  </si>
  <si>
    <t>0232</t>
  </si>
  <si>
    <t>รวมเป็นเงินทั้งสิ้น</t>
  </si>
  <si>
    <t>จำนวนเงิน</t>
  </si>
  <si>
    <t>หมายเหตุ</t>
  </si>
  <si>
    <t>บัญชีลูกหนี้เงินยืมเงินงบประมาณ</t>
  </si>
  <si>
    <t>บัญชีรายจ่ายอื่น</t>
  </si>
  <si>
    <t>องค์การบริหารส่วนตำบลโคกตูม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</si>
  <si>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</si>
  <si>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</si>
  <si>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</si>
  <si>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</si>
  <si>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หัก : เช็คจ่ายที่ผู้รับยังไม่นำมาขึ้นเงินกับธนาคาร</t>
  </si>
  <si>
    <t>วันที่</t>
  </si>
  <si>
    <t>เลขที่เช็ค</t>
  </si>
  <si>
    <t xml:space="preserve">  </t>
  </si>
  <si>
    <t>บวก : หรือ (หัก) รายการกระทบยอดอื่น ๆ</t>
  </si>
  <si>
    <t xml:space="preserve">รายละเอียด  (หัก) </t>
  </si>
  <si>
    <t>ผู้จัดทำ</t>
  </si>
  <si>
    <t>ผู้ตรวจสอบ</t>
  </si>
  <si>
    <t>ลงชื่อ.....................................</t>
  </si>
  <si>
    <t>ลงชื่อ.........................................</t>
  </si>
  <si>
    <t>ตำแหน่ง  หัวหน้าส่วนการคลัง อบต.โคกตูม</t>
  </si>
  <si>
    <t>รายจ่ายรอจ่าย</t>
  </si>
  <si>
    <t>บัญชีค่าจ้างชั่วคราว</t>
  </si>
  <si>
    <t>ค่าจ้างชั่วคราว</t>
  </si>
  <si>
    <t>5130</t>
  </si>
  <si>
    <t>6250</t>
  </si>
  <si>
    <t>5400</t>
  </si>
  <si>
    <t>6400</t>
  </si>
  <si>
    <t>6450</t>
  </si>
  <si>
    <t>6000</t>
  </si>
  <si>
    <t>ค่าตอบแทน</t>
  </si>
  <si>
    <t>5200</t>
  </si>
  <si>
    <t>6270</t>
  </si>
  <si>
    <t>0307</t>
  </si>
  <si>
    <t>เงินสะสม</t>
  </si>
  <si>
    <t xml:space="preserve"> 700</t>
  </si>
  <si>
    <t>ค่าตอบแทนหน่วยการแพทย์ฉุกเฉิน</t>
  </si>
  <si>
    <t>604</t>
  </si>
  <si>
    <t>(ลงชื่อ)..................................................ผู้จัดทำ</t>
  </si>
  <si>
    <t>ตรวจถูกต้องแล้ว</t>
  </si>
  <si>
    <t>(นายปุรินทร์  บุรีภักดี)</t>
  </si>
  <si>
    <t>รายได้ที่รัฐบาลอุดหนุนให้โดยระบุวัตถุประสงค์ (ยอดรวม)</t>
  </si>
  <si>
    <t>หมวดเงินอุดหนุนเฉพาะกิจ (ยอดรวม)</t>
  </si>
  <si>
    <t>3000</t>
  </si>
  <si>
    <t>เงินอุดหนุนเฉพาะกิจ</t>
  </si>
  <si>
    <t>บัญชีเงินอุดหนุนเฉพาะกิจฝากคลังจังหวัด</t>
  </si>
  <si>
    <t>012</t>
  </si>
  <si>
    <t>รายรับจริงประกอบงบทดลองและรายงานรับ - จ่ายเงินสด</t>
  </si>
  <si>
    <t xml:space="preserve"> -รายได้เบ็ดเตล็ดอื่น ๆ</t>
  </si>
  <si>
    <t>(นางบุญฑริกา  แสงสุวรรณ)</t>
  </si>
  <si>
    <t>(นายหนึ่ง  พริ้งเพราะ)</t>
  </si>
  <si>
    <t>รายละเอียดประกอบงบทดลองและรายงานรับ - จ่ายเงินสด</t>
  </si>
  <si>
    <t>กระดาษทำการกระทบยอด</t>
  </si>
  <si>
    <t>แผนงาน/งาน</t>
  </si>
  <si>
    <t>00110</t>
  </si>
  <si>
    <t>00120</t>
  </si>
  <si>
    <t>00210</t>
  </si>
  <si>
    <t>00220</t>
  </si>
  <si>
    <t>00230</t>
  </si>
  <si>
    <t>00240</t>
  </si>
  <si>
    <t>00250</t>
  </si>
  <si>
    <t>00260</t>
  </si>
  <si>
    <t>00320</t>
  </si>
  <si>
    <t>00410</t>
  </si>
  <si>
    <t>รวม</t>
  </si>
  <si>
    <t>00111</t>
  </si>
  <si>
    <t>00113</t>
  </si>
  <si>
    <t>00121</t>
  </si>
  <si>
    <t>00123</t>
  </si>
  <si>
    <t>00211</t>
  </si>
  <si>
    <t>00212</t>
  </si>
  <si>
    <t>00223</t>
  </si>
  <si>
    <t>00232</t>
  </si>
  <si>
    <t>00241</t>
  </si>
  <si>
    <t>00242</t>
  </si>
  <si>
    <t>00252</t>
  </si>
  <si>
    <t>00262</t>
  </si>
  <si>
    <t>00263</t>
  </si>
  <si>
    <t>00312</t>
  </si>
  <si>
    <t>00321</t>
  </si>
  <si>
    <t>00322</t>
  </si>
  <si>
    <t>00411</t>
  </si>
  <si>
    <t>000</t>
  </si>
  <si>
    <t>002</t>
  </si>
  <si>
    <t>004</t>
  </si>
  <si>
    <t>รวมเดือนนี้</t>
  </si>
  <si>
    <t>รวมตั้งแต่ต้นปี</t>
  </si>
  <si>
    <t>100</t>
  </si>
  <si>
    <t>120</t>
  </si>
  <si>
    <t>121</t>
  </si>
  <si>
    <t>130</t>
  </si>
  <si>
    <t>131</t>
  </si>
  <si>
    <t>200</t>
  </si>
  <si>
    <t>201</t>
  </si>
  <si>
    <t>203</t>
  </si>
  <si>
    <t>206</t>
  </si>
  <si>
    <t>207</t>
  </si>
  <si>
    <t>208</t>
  </si>
  <si>
    <t>250</t>
  </si>
  <si>
    <t>252</t>
  </si>
  <si>
    <t>253</t>
  </si>
  <si>
    <t>254</t>
  </si>
  <si>
    <t>270</t>
  </si>
  <si>
    <t>271</t>
  </si>
  <si>
    <t>272</t>
  </si>
  <si>
    <t>273</t>
  </si>
  <si>
    <t>279</t>
  </si>
  <si>
    <t>282</t>
  </si>
  <si>
    <t>300</t>
  </si>
  <si>
    <t>301</t>
  </si>
  <si>
    <t>305</t>
  </si>
  <si>
    <t>400</t>
  </si>
  <si>
    <t>403</t>
  </si>
  <si>
    <t>00310</t>
  </si>
  <si>
    <t>450</t>
  </si>
  <si>
    <t>451</t>
  </si>
  <si>
    <t>500</t>
  </si>
  <si>
    <t>513</t>
  </si>
  <si>
    <t>516</t>
  </si>
  <si>
    <t>ประกาศองค์การบริหารส่วนตำบลโคกตูม</t>
  </si>
  <si>
    <t>************************</t>
  </si>
  <si>
    <t>ตามระเบียบกระทรวงมหาดไทยว่าด้วยการรับเงิน  การเบิกจ่ายเงิน  การฝากเงินและการตรวจเงินของ</t>
  </si>
  <si>
    <t>องค์กรปกครองส่วนท้องถิ่น พ.ศ. 2547 ข้อ 99 ให้หัวหน้าหน่วยงานคลังทำรายงานแสดงรายรับรายจ่ายและงบทดลอง</t>
  </si>
  <si>
    <t>เป็นรายเดือนเสนอปลัดองค์กรปกครองส่วนท้องถิ่นเพื่อนำเสนอผู้บริหารท้องถิ่นเพื่อทราบในฐานะหัวหน้าผู้บังคับ</t>
  </si>
  <si>
    <t>บัญชา</t>
  </si>
  <si>
    <t>ดังนั้น  องค์การบริหารส่วนตำบลโคกตูม  จึงขอประกาศรายงานแสดงรายรับรายจ่ายและงบทดลอง</t>
  </si>
  <si>
    <t>บัญชีเงินรายรับ (หมายเหตุ 1)</t>
  </si>
  <si>
    <t>บัญชีเงินรับฝาก (หมายเหตุ 2)</t>
  </si>
  <si>
    <t>รายจ่ายผัดส่งใบสำคัญ</t>
  </si>
  <si>
    <t>601</t>
  </si>
  <si>
    <t>602</t>
  </si>
  <si>
    <t>รายจ่ายตามงบประมาณ (จ่ายจากรายรับ)</t>
  </si>
  <si>
    <t>เงินรับฝาก (หมายเหตุ 2)</t>
  </si>
  <si>
    <t>เงินอุดหนุนเฉพาะกิจค้างจ่าย (หมายเหตุ 3)</t>
  </si>
  <si>
    <t>ลูกหนี้เงินยืมงินสะสม</t>
  </si>
  <si>
    <t xml:space="preserve">ธนาคารกรุงไทย จำกัด (มหาชน)  </t>
  </si>
  <si>
    <t>บัญชีลูกหนี้ - โครงการเศรษฐกิจชุมชน</t>
  </si>
  <si>
    <t xml:space="preserve"> -</t>
  </si>
  <si>
    <t>ภาษีหักหน้าฎีกา</t>
  </si>
  <si>
    <t>999</t>
  </si>
  <si>
    <t>บัญชีลูกหนี้ภาษีบำรุงท้องที่ 89%</t>
  </si>
  <si>
    <t>082</t>
  </si>
  <si>
    <t>ลูกหนี้โครงการเศรษฐกิจชุมชน</t>
  </si>
  <si>
    <t>003</t>
  </si>
  <si>
    <t>เงินทุนสำรองเงินสะสม</t>
  </si>
  <si>
    <t xml:space="preserve"> 082</t>
  </si>
  <si>
    <t>ลูกหนี้ภาษีบำรุงท้องที่ 89%</t>
  </si>
  <si>
    <t>7000</t>
  </si>
  <si>
    <t>เงินอุดหนุนเฉพาะกิจ (งบกลาง)</t>
  </si>
  <si>
    <t>เงินอุดหนุนเฉพาะกิจ (ที่ดินและสิ่งก่อสร้าง)</t>
  </si>
  <si>
    <t>7500</t>
  </si>
  <si>
    <t>ภาษีหักหน้าฏีกา</t>
  </si>
  <si>
    <r>
      <t>รายรับ</t>
    </r>
    <r>
      <rPr>
        <b/>
        <sz val="13"/>
        <rFont val="Angsana New"/>
        <family val="1"/>
      </rPr>
      <t xml:space="preserve"> (หมายเหตุ 1)</t>
    </r>
  </si>
  <si>
    <t>โครงการเศรษฐกิจชุมชนฯ</t>
  </si>
  <si>
    <t>บัญชีลูกหนี้เงินยืมเงินสะสม</t>
  </si>
  <si>
    <t>รายได้จากโครงการไทยเข้มแข็ง (23,000 ล้านบาท)</t>
  </si>
  <si>
    <t xml:space="preserve">  - </t>
  </si>
  <si>
    <t xml:space="preserve"> 5550</t>
  </si>
  <si>
    <t>6550</t>
  </si>
  <si>
    <t>บัญชีรายจ่ายผัดส่งใบสำคัญ</t>
  </si>
  <si>
    <t>(นางสาวอรนุช  ปุ่นประโคน)</t>
  </si>
  <si>
    <t>(นายปุรินทร์ บุรีภักดี)</t>
  </si>
  <si>
    <t xml:space="preserve">                                                                               ตรวจถูกต้องแล้ว</t>
  </si>
  <si>
    <t xml:space="preserve">                                                                        (นายหนึ่ง  พริ้งเพราะ)</t>
  </si>
  <si>
    <t xml:space="preserve">                                                           นายกองค์การบริหารส่วนตำบลโคกตูม</t>
  </si>
  <si>
    <t xml:space="preserve">                                                               (ลงชื่อ)..................................................ผู้จัดทำ</t>
  </si>
  <si>
    <t xml:space="preserve">                                                                          (นางสาวอรนุช  ปุ่นประโคน)</t>
  </si>
  <si>
    <t>เลขที่บัญชี  316-0-00650-6</t>
  </si>
  <si>
    <t xml:space="preserve"> -ภาษีมูลค่าเพิ่ม </t>
  </si>
  <si>
    <t>นักวิชาการเงินและบัญชี</t>
  </si>
  <si>
    <t xml:space="preserve">                                                                             นักวิชาการเงินและบัญชี</t>
  </si>
  <si>
    <t>ตำแหน่ง  นักวิชาการเงินและบัญชี</t>
  </si>
  <si>
    <t xml:space="preserve">ธนาคารออมสิน  </t>
  </si>
  <si>
    <t>ดอกเบี้ยเงินฝากยังไม่ได้บันทึกบัญชี</t>
  </si>
  <si>
    <t>เลขที่บัญชี   06-4304-34-001457-0</t>
  </si>
  <si>
    <t xml:space="preserve"> -ค่าใบอนุญาตอื่น ๆ</t>
  </si>
  <si>
    <t>0148</t>
  </si>
  <si>
    <t xml:space="preserve">วันที่  30  กันยายน   2554 </t>
  </si>
  <si>
    <t>วันที่  30  กันยายน  2554</t>
  </si>
  <si>
    <t xml:space="preserve">ยอดคงเหลือตามรายงานธนาคาร ณ วันที่  30  กันยายน 2554 </t>
  </si>
  <si>
    <t xml:space="preserve">ยอดคงเหลือตามบัญชี ณ วันที่  30   กันยายน   2554  </t>
  </si>
  <si>
    <t>00251</t>
  </si>
  <si>
    <t xml:space="preserve">       ณ  วันที่ 31  ตุลาคม   พ.ศ.  2555</t>
  </si>
  <si>
    <t>ปีงบประมาณ 2556</t>
  </si>
  <si>
    <t>บัญชีเงินรายรับ  (หมายเหตุ 1)  ณ  วันที่  31 ตุลาคม  พ.ศ. 2555</t>
  </si>
  <si>
    <t>บัญชีเงินรับฝาก  (หมายเหตุ 2)  ณ  วันที่ 31  ตุลาคม   พ.ศ. 2555</t>
  </si>
  <si>
    <t>ประจำเดือน  ตุลาคม 2555</t>
  </si>
  <si>
    <t>ประจำเดือน ตุลาคม   2555</t>
  </si>
  <si>
    <t>เรื่อง  รายงานแสดงรายรับรายจ่ายและงบทดลอง  ประจำเดือนตุลาคม 2555</t>
  </si>
  <si>
    <t>ประจำเดือนตุลาคม พ.ศ. 2555 ตามที่แนบท้ายประกาศนี้</t>
  </si>
  <si>
    <t xml:space="preserve">ยอดคงเหลือตามรายงานธนาคาร ณ วันที่  31 ตุลาคม  2555 </t>
  </si>
  <si>
    <t>ยอดคงเหลือตามบัญชี ณ วันที่  31  ตุลาคม   2555</t>
  </si>
  <si>
    <t>วันที่  31  ตุลาคม  2555</t>
  </si>
  <si>
    <t>บัญชีรายจ่ายค้างจ่าย (หมายเหตุ3)</t>
  </si>
  <si>
    <t>บัญชีรายจ่ายรอจ่าย (หมายเหตุ 4)</t>
  </si>
  <si>
    <t>6200</t>
  </si>
  <si>
    <t>เบิกจ่ายแล้ว</t>
  </si>
  <si>
    <t>ก่อหนี้ผูกพัน</t>
  </si>
  <si>
    <t>ไม่ก่อหนี้ผูกพัน</t>
  </si>
  <si>
    <t>ค่าใช้สอย/ -ค่าใช้จ่ายในการจ้างเหมาบริการทำความสะอาดบริเวณ</t>
  </si>
  <si>
    <t>ค่าวัสดุ/งานบ้านงานครัว อาหารเสริม(นม)โรงเรียน</t>
  </si>
  <si>
    <t>ค่าวัสดุ/ค่าวัสดุเชื้อเพลิงและหล่อลื่น</t>
  </si>
  <si>
    <t>ค่าวัสดุ/ค่าวัสดุเครื่องแต่งกายชุด อปพร.</t>
  </si>
  <si>
    <t>ค่าวัสดุ/ค่าวัสดุสำนักงาน(จ้างพิมพ์ใบเสร็จรับเงินศูนย์พัฒนาแด็กเล็ก)</t>
  </si>
  <si>
    <t>ครุภัณฑ์/ครุภัณฑ์คอมพิวเตอร์  - สำนักงานปลัด</t>
  </si>
  <si>
    <t>ครุภัณฑ์/ครุภัณฑ์คอมพิวเตอร์  -  ส่วนโยธา</t>
  </si>
  <si>
    <t>ครุภัณฑ์/ ครุภัณฑ์คอมพิวเตอร์  ส่วนส่งเสริมการเกษตร</t>
  </si>
  <si>
    <t>ครุภัณฑ์ /ครุภัณฑ์คอมพิวเตอร์ - ส่วนสวัสดิการสังคมและสงเคราะห์</t>
  </si>
  <si>
    <t>ที่ดินและสิ่งก่อสร้าง / อาคารศูนย์พัฒนาเด็กเล็กตำบลโคกตู ม</t>
  </si>
  <si>
    <t>ค่าตอบแทน/เงินประโยชน์ตอบแทนอื่นกรณีพิเศษพนักงานส่วนตำบล - สำนักงานปลัด</t>
  </si>
  <si>
    <t>ค่าตอบแทน/เงินประโยชน์ตอบแทนอื่นกรณีพิเศษพนักงานจ้างฯ - สำนักงานปลัด</t>
  </si>
  <si>
    <t>ค่าตอบแทน/เงินประโยชน์ตอบแทนอื่นกรณีพิเศษพนักงานส่วนตำบล - ส่วนการคลัง</t>
  </si>
  <si>
    <t>ค่าตอบแทน/เงินประโยชน์ตอบแทนอื่นกรณีพิเศษพนักงานจ้างฯ- ส่วนการคลัง</t>
  </si>
  <si>
    <t>ค่าตอบแทน/เงินประโยชน์ตอบแทนอื่นกรณีพิเศษพนักงานส่วนตำบล - ส่วนโยธา</t>
  </si>
  <si>
    <t>ค่าตอบแทน/เงินประโยชน์ตอบแทนอื่นกรณีพิเศษพนักงานส่วนตำบล - ส่วนการศึกษา</t>
  </si>
  <si>
    <t>ค่าตอบแทน/เงินประโยชน์ตอบแทนอื่นกรณีพิเศษพนักงานจ้างฯ - ส่วนการศึกษา</t>
  </si>
  <si>
    <t>ค่าตอบแทน/เงินประโยชน์ตอบแทนอื่นกรณีพิเศษพนักงานส่วนตำบล - ส่วนสวัสดิการฯ</t>
  </si>
  <si>
    <t>ค่าตอบแทน/เงินประโยชน์ตอบแทนอื่นกรณีพิเศษพนักงานจ้าง - ส่วนสวัสดิการฯ</t>
  </si>
  <si>
    <t>ค่าตอบแทน/เงินประโยชน์ตอบแทนอื่นกรณีพิเศษพนักงานส่วนตำบล - ส่วนส่งเสริมการเกษตร</t>
  </si>
  <si>
    <t>บัญชีรายจ่ายค้างจ่าย   (หมายเหตุ3)   ณ  วันที่  31  ตุลาคม  พ.ศ. 2555</t>
  </si>
  <si>
    <t>บัญชีรายจ่ายรอจ่าย  (หมายเหตุ 4)   ณ  วันที่  31  ตุลาตม  พ.ศ. 2555</t>
  </si>
  <si>
    <t>0098243</t>
  </si>
  <si>
    <t>ผู้อำนวยการกองคลัง</t>
  </si>
  <si>
    <t>นักบริหารงาน อบต.</t>
  </si>
  <si>
    <t xml:space="preserve"> 3  ตุลาคม  2555</t>
  </si>
  <si>
    <t>ตำแหน่ง ผู้อำนวยการกองคลัง</t>
  </si>
  <si>
    <t>ประกาศ  ณ  วันที่        5     พฤศจิกายน  พ.ศ.  2555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</si>
</sst>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  <numFmt numFmtId="192" formatCode="0.0000000000"/>
    <numFmt numFmtId="193" formatCode="0.00000000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_-;\-* #,##0.0_-;_-* &quot;-&quot;??_-;_-@_-"/>
    <numFmt numFmtId="204" formatCode="_-* #,##0_-;\-* #,##0_-;_-* &quot;-&quot;??_-;_-@_-"/>
    <numFmt numFmtId="205" formatCode="mmm\-yyyy"/>
    <numFmt numFmtId="206" formatCode="_-* #,##0.0000_-;\-* #,##0.0000_-;_-* &quot;-&quot;????_-;_-@_-"/>
  </numFmts>
  <fonts count="69">
    <font>
      <sz val="10"/>
      <name val="Arial"/>
      <family val="0"/>
    </font>
    <font>
      <sz val="16"/>
      <name val="Angsana New"/>
      <family val="1"/>
    </font>
    <font>
      <sz val="12"/>
      <name val="Angsana New"/>
      <family val="1"/>
    </font>
    <font>
      <sz val="14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ngsana New"/>
      <family val="1"/>
    </font>
    <font>
      <b/>
      <sz val="18"/>
      <color indexed="8"/>
      <name val="Arial"/>
      <family val="0"/>
    </font>
    <font>
      <b/>
      <sz val="15"/>
      <color indexed="8"/>
      <name val="Arial"/>
      <family val="0"/>
    </font>
    <font>
      <b/>
      <sz val="13"/>
      <color indexed="8"/>
      <name val="Arial"/>
      <family val="0"/>
    </font>
    <font>
      <b/>
      <sz val="11"/>
      <color indexed="8"/>
      <name val="Arial"/>
      <family val="0"/>
    </font>
    <font>
      <sz val="10"/>
      <color indexed="17"/>
      <name val="Arial"/>
      <family val="0"/>
    </font>
    <font>
      <sz val="10"/>
      <color indexed="10"/>
      <name val="Arial"/>
      <family val="0"/>
    </font>
    <font>
      <sz val="10"/>
      <color indexed="19"/>
      <name val="Arial"/>
      <family val="0"/>
    </font>
    <font>
      <b/>
      <sz val="10"/>
      <color indexed="8"/>
      <name val="Arial"/>
      <family val="0"/>
    </font>
    <font>
      <sz val="10"/>
      <color indexed="18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b/>
      <sz val="10"/>
      <color indexed="10"/>
      <name val="Arial"/>
      <family val="0"/>
    </font>
    <font>
      <sz val="10"/>
      <name val="Angsana New"/>
      <family val="1"/>
    </font>
    <font>
      <b/>
      <sz val="16"/>
      <name val="Angsana New"/>
      <family val="1"/>
    </font>
    <font>
      <u val="single"/>
      <sz val="16"/>
      <name val="Angsana New"/>
      <family val="1"/>
    </font>
    <font>
      <b/>
      <sz val="22"/>
      <name val="Angsana New"/>
      <family val="1"/>
    </font>
    <font>
      <sz val="8"/>
      <name val="Arial"/>
      <family val="0"/>
    </font>
    <font>
      <u val="single"/>
      <sz val="11"/>
      <name val="Angsana New"/>
      <family val="1"/>
    </font>
    <font>
      <u val="single"/>
      <sz val="12"/>
      <name val="Angsana New"/>
      <family val="1"/>
    </font>
    <font>
      <sz val="13"/>
      <name val="Angsana New"/>
      <family val="1"/>
    </font>
    <font>
      <u val="single"/>
      <sz val="14"/>
      <name val="Angsana New"/>
      <family val="1"/>
    </font>
    <font>
      <sz val="13"/>
      <name val="Arial"/>
      <family val="0"/>
    </font>
    <font>
      <b/>
      <sz val="13"/>
      <name val="Angsana New"/>
      <family val="1"/>
    </font>
    <font>
      <b/>
      <u val="single"/>
      <sz val="13"/>
      <name val="Angsana New"/>
      <family val="1"/>
    </font>
    <font>
      <sz val="13"/>
      <color indexed="10"/>
      <name val="Angsana New"/>
      <family val="1"/>
    </font>
    <font>
      <sz val="13"/>
      <color indexed="21"/>
      <name val="Angsana New"/>
      <family val="1"/>
    </font>
    <font>
      <sz val="13"/>
      <color indexed="57"/>
      <name val="Angsana New"/>
      <family val="1"/>
    </font>
    <font>
      <sz val="9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2" fillId="20" borderId="0" applyNumberFormat="0" applyBorder="0" applyAlignment="0" applyProtection="0"/>
    <xf numFmtId="0" fontId="17" fillId="21" borderId="1" applyNumberFormat="0" applyAlignment="0" applyProtection="0"/>
    <xf numFmtId="0" fontId="1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2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25" borderId="5" applyNumberFormat="0" applyAlignment="0" applyProtection="0"/>
    <xf numFmtId="0" fontId="0" fillId="26" borderId="6" applyNumberFormat="0" applyFont="0" applyAlignment="0" applyProtection="0"/>
    <xf numFmtId="0" fontId="13" fillId="27" borderId="0" applyNumberFormat="0" applyBorder="0" applyAlignment="0" applyProtection="0"/>
    <xf numFmtId="0" fontId="0" fillId="27" borderId="7" applyNumberFormat="0" applyFont="0" applyAlignment="0" applyProtection="0"/>
    <xf numFmtId="0" fontId="16" fillId="28" borderId="8" applyNumberFormat="0" applyAlignment="0" applyProtection="0"/>
    <xf numFmtId="0" fontId="7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54" fillId="29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1" applyNumberFormat="0" applyAlignment="0" applyProtection="0"/>
    <xf numFmtId="0" fontId="59" fillId="0" borderId="12" applyNumberFormat="0" applyFill="0" applyAlignment="0" applyProtection="0"/>
    <xf numFmtId="0" fontId="60" fillId="31" borderId="0" applyNumberFormat="0" applyBorder="0" applyAlignment="0" applyProtection="0"/>
    <xf numFmtId="0" fontId="61" fillId="32" borderId="10" applyNumberFormat="0" applyAlignment="0" applyProtection="0"/>
    <xf numFmtId="0" fontId="62" fillId="33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13" applyNumberFormat="0" applyFill="0" applyAlignment="0" applyProtection="0"/>
    <xf numFmtId="0" fontId="64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65" fillId="29" borderId="14" applyNumberFormat="0" applyAlignment="0" applyProtection="0"/>
    <xf numFmtId="0" fontId="0" fillId="41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43" fontId="1" fillId="0" borderId="20" xfId="57" applyFont="1" applyBorder="1" applyAlignment="1">
      <alignment/>
    </xf>
    <xf numFmtId="43" fontId="1" fillId="0" borderId="19" xfId="57" applyFont="1" applyBorder="1" applyAlignment="1">
      <alignment/>
    </xf>
    <xf numFmtId="43" fontId="1" fillId="0" borderId="19" xfId="57" applyFont="1" applyBorder="1" applyAlignment="1">
      <alignment horizontal="right"/>
    </xf>
    <xf numFmtId="43" fontId="1" fillId="0" borderId="20" xfId="57" applyFont="1" applyBorder="1" applyAlignment="1">
      <alignment horizontal="right"/>
    </xf>
    <xf numFmtId="0" fontId="2" fillId="0" borderId="0" xfId="0" applyFont="1" applyAlignment="1">
      <alignment/>
    </xf>
    <xf numFmtId="43" fontId="2" fillId="0" borderId="0" xfId="57" applyFont="1" applyAlignment="1">
      <alignment/>
    </xf>
    <xf numFmtId="0" fontId="3" fillId="0" borderId="0" xfId="0" applyFont="1" applyAlignment="1">
      <alignment/>
    </xf>
    <xf numFmtId="0" fontId="6" fillId="0" borderId="19" xfId="0" applyFont="1" applyBorder="1" applyAlignment="1" quotePrefix="1">
      <alignment horizontal="center"/>
    </xf>
    <xf numFmtId="43" fontId="6" fillId="0" borderId="0" xfId="57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3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/>
    </xf>
    <xf numFmtId="43" fontId="6" fillId="0" borderId="21" xfId="57" applyFont="1" applyBorder="1" applyAlignment="1">
      <alignment/>
    </xf>
    <xf numFmtId="43" fontId="6" fillId="0" borderId="22" xfId="57" applyFont="1" applyBorder="1" applyAlignment="1">
      <alignment/>
    </xf>
    <xf numFmtId="0" fontId="6" fillId="0" borderId="23" xfId="0" applyFont="1" applyBorder="1" applyAlignment="1">
      <alignment/>
    </xf>
    <xf numFmtId="43" fontId="6" fillId="0" borderId="23" xfId="57" applyFont="1" applyBorder="1" applyAlignment="1">
      <alignment/>
    </xf>
    <xf numFmtId="43" fontId="6" fillId="0" borderId="24" xfId="57" applyFont="1" applyBorder="1" applyAlignment="1">
      <alignment/>
    </xf>
    <xf numFmtId="43" fontId="6" fillId="0" borderId="25" xfId="57" applyFont="1" applyBorder="1" applyAlignment="1">
      <alignment/>
    </xf>
    <xf numFmtId="43" fontId="6" fillId="0" borderId="0" xfId="0" applyNumberFormat="1" applyFont="1" applyAlignment="1">
      <alignment/>
    </xf>
    <xf numFmtId="43" fontId="6" fillId="0" borderId="20" xfId="57" applyFont="1" applyBorder="1" applyAlignment="1">
      <alignment/>
    </xf>
    <xf numFmtId="43" fontId="2" fillId="0" borderId="0" xfId="57" applyFont="1" applyBorder="1" applyAlignment="1">
      <alignment/>
    </xf>
    <xf numFmtId="0" fontId="6" fillId="0" borderId="0" xfId="0" applyFont="1" applyBorder="1" applyAlignment="1">
      <alignment horizontal="left"/>
    </xf>
    <xf numFmtId="0" fontId="20" fillId="0" borderId="22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43" fontId="1" fillId="0" borderId="28" xfId="57" applyFont="1" applyBorder="1" applyAlignment="1">
      <alignment horizontal="center"/>
    </xf>
    <xf numFmtId="43" fontId="1" fillId="0" borderId="28" xfId="57" applyFont="1" applyBorder="1" applyAlignment="1">
      <alignment/>
    </xf>
    <xf numFmtId="0" fontId="21" fillId="0" borderId="2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43" fontId="1" fillId="0" borderId="31" xfId="57" applyFont="1" applyBorder="1" applyAlignment="1">
      <alignment/>
    </xf>
    <xf numFmtId="15" fontId="1" fillId="0" borderId="2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1" fillId="0" borderId="0" xfId="57" applyFont="1" applyBorder="1" applyAlignment="1">
      <alignment/>
    </xf>
    <xf numFmtId="15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3" fontId="1" fillId="0" borderId="30" xfId="57" applyFont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3" fontId="1" fillId="0" borderId="30" xfId="57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22" xfId="0" applyFont="1" applyBorder="1" applyAlignment="1">
      <alignment/>
    </xf>
    <xf numFmtId="0" fontId="22" fillId="0" borderId="0" xfId="0" applyFont="1" applyAlignment="1">
      <alignment/>
    </xf>
    <xf numFmtId="43" fontId="1" fillId="0" borderId="0" xfId="0" applyNumberFormat="1" applyFont="1" applyAlignment="1">
      <alignment/>
    </xf>
    <xf numFmtId="43" fontId="3" fillId="0" borderId="0" xfId="57" applyFont="1" applyAlignment="1">
      <alignment/>
    </xf>
    <xf numFmtId="0" fontId="6" fillId="0" borderId="24" xfId="0" applyFont="1" applyBorder="1" applyAlignment="1">
      <alignment/>
    </xf>
    <xf numFmtId="0" fontId="2" fillId="0" borderId="0" xfId="0" applyFont="1" applyAlignment="1">
      <alignment horizontal="center"/>
    </xf>
    <xf numFmtId="43" fontId="6" fillId="0" borderId="0" xfId="57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3" fontId="2" fillId="0" borderId="21" xfId="57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3" fontId="2" fillId="0" borderId="25" xfId="57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43" fontId="2" fillId="0" borderId="19" xfId="57" applyFont="1" applyBorder="1" applyAlignment="1">
      <alignment horizontal="center"/>
    </xf>
    <xf numFmtId="0" fontId="25" fillId="0" borderId="19" xfId="0" applyFont="1" applyBorder="1" applyAlignment="1">
      <alignment/>
    </xf>
    <xf numFmtId="0" fontId="2" fillId="0" borderId="19" xfId="0" applyFont="1" applyBorder="1" applyAlignment="1" quotePrefix="1">
      <alignment horizontal="center"/>
    </xf>
    <xf numFmtId="43" fontId="2" fillId="0" borderId="19" xfId="57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 quotePrefix="1">
      <alignment horizontal="center"/>
    </xf>
    <xf numFmtId="43" fontId="2" fillId="0" borderId="21" xfId="57" applyFont="1" applyBorder="1" applyAlignment="1" quotePrefix="1">
      <alignment horizontal="center"/>
    </xf>
    <xf numFmtId="43" fontId="2" fillId="0" borderId="21" xfId="57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 quotePrefix="1">
      <alignment horizontal="center"/>
    </xf>
    <xf numFmtId="43" fontId="2" fillId="0" borderId="23" xfId="57" applyFont="1" applyBorder="1" applyAlignment="1" quotePrefix="1">
      <alignment horizontal="center"/>
    </xf>
    <xf numFmtId="43" fontId="2" fillId="0" borderId="23" xfId="57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5" xfId="0" applyFont="1" applyBorder="1" applyAlignment="1" quotePrefix="1">
      <alignment horizontal="center"/>
    </xf>
    <xf numFmtId="43" fontId="2" fillId="0" borderId="25" xfId="57" applyFont="1" applyBorder="1" applyAlignment="1" quotePrefix="1">
      <alignment horizontal="center"/>
    </xf>
    <xf numFmtId="43" fontId="2" fillId="0" borderId="25" xfId="57" applyFont="1" applyBorder="1" applyAlignment="1">
      <alignment/>
    </xf>
    <xf numFmtId="0" fontId="2" fillId="0" borderId="19" xfId="0" applyFont="1" applyBorder="1" applyAlignment="1">
      <alignment/>
    </xf>
    <xf numFmtId="43" fontId="2" fillId="0" borderId="19" xfId="57" applyFont="1" applyBorder="1" applyAlignment="1" quotePrefix="1">
      <alignment horizontal="center"/>
    </xf>
    <xf numFmtId="0" fontId="25" fillId="0" borderId="21" xfId="0" applyFont="1" applyBorder="1" applyAlignment="1">
      <alignment/>
    </xf>
    <xf numFmtId="0" fontId="2" fillId="0" borderId="32" xfId="0" applyFont="1" applyBorder="1" applyAlignment="1">
      <alignment/>
    </xf>
    <xf numFmtId="43" fontId="1" fillId="0" borderId="0" xfId="57" applyFont="1" applyAlignment="1">
      <alignment/>
    </xf>
    <xf numFmtId="0" fontId="2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3" fontId="1" fillId="0" borderId="0" xfId="57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34" xfId="0" applyFont="1" applyBorder="1" applyAlignment="1" quotePrefix="1">
      <alignment horizontal="center"/>
    </xf>
    <xf numFmtId="0" fontId="19" fillId="0" borderId="35" xfId="0" applyFont="1" applyBorder="1" applyAlignment="1" quotePrefix="1">
      <alignment horizontal="center"/>
    </xf>
    <xf numFmtId="0" fontId="6" fillId="0" borderId="25" xfId="0" applyFont="1" applyBorder="1" applyAlignment="1">
      <alignment horizontal="left"/>
    </xf>
    <xf numFmtId="0" fontId="19" fillId="0" borderId="19" xfId="0" applyFont="1" applyBorder="1" applyAlignment="1" quotePrefix="1">
      <alignment horizontal="center"/>
    </xf>
    <xf numFmtId="0" fontId="19" fillId="0" borderId="19" xfId="0" applyFont="1" applyBorder="1" applyAlignment="1" quotePrefix="1">
      <alignment horizontal="left"/>
    </xf>
    <xf numFmtId="43" fontId="19" fillId="0" borderId="19" xfId="57" applyFont="1" applyBorder="1" applyAlignment="1">
      <alignment/>
    </xf>
    <xf numFmtId="0" fontId="19" fillId="0" borderId="0" xfId="0" applyFont="1" applyAlignment="1">
      <alignment/>
    </xf>
    <xf numFmtId="0" fontId="19" fillId="0" borderId="19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43" fontId="19" fillId="0" borderId="0" xfId="57" applyFont="1" applyBorder="1" applyAlignment="1">
      <alignment/>
    </xf>
    <xf numFmtId="0" fontId="6" fillId="0" borderId="0" xfId="0" applyFont="1" applyBorder="1" applyAlignment="1">
      <alignment horizontal="right"/>
    </xf>
    <xf numFmtId="0" fontId="19" fillId="0" borderId="19" xfId="0" applyFont="1" applyBorder="1" applyAlignment="1">
      <alignment horizontal="left"/>
    </xf>
    <xf numFmtId="0" fontId="19" fillId="0" borderId="19" xfId="0" applyFont="1" applyBorder="1" applyAlignment="1">
      <alignment horizontal="center"/>
    </xf>
    <xf numFmtId="43" fontId="26" fillId="0" borderId="23" xfId="57" applyFont="1" applyBorder="1" applyAlignment="1">
      <alignment/>
    </xf>
    <xf numFmtId="43" fontId="1" fillId="0" borderId="36" xfId="57" applyFont="1" applyBorder="1" applyAlignment="1">
      <alignment/>
    </xf>
    <xf numFmtId="43" fontId="19" fillId="0" borderId="0" xfId="57" applyFont="1" applyAlignment="1">
      <alignment/>
    </xf>
    <xf numFmtId="43" fontId="2" fillId="0" borderId="20" xfId="57" applyFont="1" applyBorder="1" applyAlignment="1">
      <alignment/>
    </xf>
    <xf numFmtId="0" fontId="1" fillId="0" borderId="0" xfId="0" applyFont="1" applyBorder="1" applyAlignment="1" quotePrefix="1">
      <alignment horizontal="center"/>
    </xf>
    <xf numFmtId="0" fontId="1" fillId="0" borderId="30" xfId="0" applyFont="1" applyBorder="1" applyAlignment="1" quotePrefix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43" fontId="26" fillId="0" borderId="0" xfId="57" applyFont="1" applyAlignment="1">
      <alignment/>
    </xf>
    <xf numFmtId="0" fontId="26" fillId="0" borderId="19" xfId="0" applyFont="1" applyBorder="1" applyAlignment="1">
      <alignment horizontal="center" vertical="center"/>
    </xf>
    <xf numFmtId="43" fontId="26" fillId="0" borderId="19" xfId="57" applyFont="1" applyBorder="1" applyAlignment="1">
      <alignment horizontal="center" vertical="center"/>
    </xf>
    <xf numFmtId="0" fontId="26" fillId="0" borderId="24" xfId="0" applyFont="1" applyBorder="1" applyAlignment="1">
      <alignment horizontal="left"/>
    </xf>
    <xf numFmtId="0" fontId="26" fillId="0" borderId="23" xfId="0" applyFont="1" applyBorder="1" applyAlignment="1" quotePrefix="1">
      <alignment horizontal="center"/>
    </xf>
    <xf numFmtId="43" fontId="26" fillId="0" borderId="24" xfId="57" applyFont="1" applyBorder="1" applyAlignment="1">
      <alignment shrinkToFit="1"/>
    </xf>
    <xf numFmtId="43" fontId="26" fillId="0" borderId="0" xfId="57" applyFont="1" applyBorder="1" applyAlignment="1">
      <alignment/>
    </xf>
    <xf numFmtId="43" fontId="26" fillId="0" borderId="0" xfId="0" applyNumberFormat="1" applyFont="1" applyAlignment="1">
      <alignment/>
    </xf>
    <xf numFmtId="0" fontId="26" fillId="0" borderId="24" xfId="0" applyFont="1" applyBorder="1" applyAlignment="1">
      <alignment/>
    </xf>
    <xf numFmtId="0" fontId="26" fillId="0" borderId="23" xfId="0" applyFont="1" applyBorder="1" applyAlignment="1">
      <alignment horizontal="center"/>
    </xf>
    <xf numFmtId="0" fontId="28" fillId="0" borderId="0" xfId="0" applyFont="1" applyAlignment="1">
      <alignment/>
    </xf>
    <xf numFmtId="43" fontId="26" fillId="0" borderId="20" xfId="57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43" fontId="26" fillId="0" borderId="0" xfId="57" applyFont="1" applyAlignment="1">
      <alignment horizontal="left"/>
    </xf>
    <xf numFmtId="0" fontId="3" fillId="0" borderId="0" xfId="0" applyFont="1" applyAlignment="1">
      <alignment horizontal="center"/>
    </xf>
    <xf numFmtId="43" fontId="26" fillId="0" borderId="19" xfId="57" applyFont="1" applyBorder="1" applyAlignment="1">
      <alignment horizontal="center"/>
    </xf>
    <xf numFmtId="0" fontId="2" fillId="0" borderId="20" xfId="0" applyFont="1" applyBorder="1" applyAlignment="1">
      <alignment/>
    </xf>
    <xf numFmtId="43" fontId="2" fillId="0" borderId="37" xfId="57" applyFont="1" applyBorder="1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43" fontId="29" fillId="0" borderId="0" xfId="57" applyFont="1" applyAlignment="1">
      <alignment/>
    </xf>
    <xf numFmtId="0" fontId="29" fillId="0" borderId="0" xfId="0" applyFont="1" applyAlignment="1">
      <alignment horizontal="right"/>
    </xf>
    <xf numFmtId="0" fontId="29" fillId="0" borderId="38" xfId="0" applyFont="1" applyBorder="1" applyAlignment="1">
      <alignment horizontal="center"/>
    </xf>
    <xf numFmtId="49" fontId="26" fillId="0" borderId="39" xfId="0" applyNumberFormat="1" applyFont="1" applyBorder="1" applyAlignment="1">
      <alignment horizontal="center"/>
    </xf>
    <xf numFmtId="0" fontId="29" fillId="0" borderId="40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49" fontId="26" fillId="0" borderId="23" xfId="0" applyNumberFormat="1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49" fontId="26" fillId="0" borderId="42" xfId="0" applyNumberFormat="1" applyFont="1" applyBorder="1" applyAlignment="1">
      <alignment horizontal="center"/>
    </xf>
    <xf numFmtId="43" fontId="26" fillId="0" borderId="24" xfId="57" applyFont="1" applyBorder="1" applyAlignment="1">
      <alignment horizontal="center"/>
    </xf>
    <xf numFmtId="0" fontId="29" fillId="0" borderId="38" xfId="0" applyFont="1" applyBorder="1" applyAlignment="1">
      <alignment/>
    </xf>
    <xf numFmtId="43" fontId="26" fillId="0" borderId="39" xfId="57" applyFont="1" applyBorder="1" applyAlignment="1">
      <alignment horizontal="center"/>
    </xf>
    <xf numFmtId="0" fontId="30" fillId="0" borderId="24" xfId="0" applyFont="1" applyBorder="1" applyAlignment="1">
      <alignment/>
    </xf>
    <xf numFmtId="43" fontId="26" fillId="0" borderId="23" xfId="57" applyFont="1" applyBorder="1" applyAlignment="1">
      <alignment horizontal="center"/>
    </xf>
    <xf numFmtId="0" fontId="29" fillId="0" borderId="24" xfId="0" applyFont="1" applyBorder="1" applyAlignment="1">
      <alignment/>
    </xf>
    <xf numFmtId="43" fontId="29" fillId="0" borderId="0" xfId="0" applyNumberFormat="1" applyFont="1" applyAlignment="1">
      <alignment/>
    </xf>
    <xf numFmtId="43" fontId="26" fillId="0" borderId="32" xfId="57" applyFont="1" applyBorder="1" applyAlignment="1">
      <alignment horizontal="center"/>
    </xf>
    <xf numFmtId="43" fontId="26" fillId="0" borderId="25" xfId="57" applyFont="1" applyBorder="1" applyAlignment="1">
      <alignment horizontal="center"/>
    </xf>
    <xf numFmtId="43" fontId="26" fillId="0" borderId="43" xfId="57" applyFont="1" applyBorder="1" applyAlignment="1">
      <alignment horizontal="center"/>
    </xf>
    <xf numFmtId="43" fontId="26" fillId="0" borderId="20" xfId="57" applyFont="1" applyBorder="1" applyAlignment="1">
      <alignment horizontal="center"/>
    </xf>
    <xf numFmtId="0" fontId="29" fillId="0" borderId="0" xfId="0" applyFont="1" applyBorder="1" applyAlignment="1">
      <alignment/>
    </xf>
    <xf numFmtId="43" fontId="26" fillId="0" borderId="38" xfId="57" applyFont="1" applyBorder="1" applyAlignment="1">
      <alignment horizontal="center"/>
    </xf>
    <xf numFmtId="0" fontId="29" fillId="0" borderId="23" xfId="0" applyFont="1" applyBorder="1" applyAlignment="1">
      <alignment/>
    </xf>
    <xf numFmtId="0" fontId="29" fillId="0" borderId="28" xfId="0" applyFont="1" applyBorder="1" applyAlignment="1">
      <alignment/>
    </xf>
    <xf numFmtId="49" fontId="26" fillId="0" borderId="24" xfId="0" applyNumberFormat="1" applyFont="1" applyBorder="1" applyAlignment="1">
      <alignment horizontal="center"/>
    </xf>
    <xf numFmtId="43" fontId="26" fillId="0" borderId="44" xfId="0" applyNumberFormat="1" applyFont="1" applyBorder="1" applyAlignment="1">
      <alignment horizontal="center"/>
    </xf>
    <xf numFmtId="49" fontId="26" fillId="0" borderId="25" xfId="0" applyNumberFormat="1" applyFont="1" applyBorder="1" applyAlignment="1">
      <alignment horizontal="center"/>
    </xf>
    <xf numFmtId="43" fontId="26" fillId="0" borderId="19" xfId="0" applyNumberFormat="1" applyFont="1" applyBorder="1" applyAlignment="1">
      <alignment horizontal="center"/>
    </xf>
    <xf numFmtId="43" fontId="26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49" fontId="26" fillId="0" borderId="21" xfId="0" applyNumberFormat="1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43" fontId="26" fillId="0" borderId="28" xfId="57" applyFont="1" applyBorder="1" applyAlignment="1">
      <alignment horizontal="center"/>
    </xf>
    <xf numFmtId="43" fontId="29" fillId="0" borderId="0" xfId="0" applyNumberFormat="1" applyFont="1" applyBorder="1" applyAlignment="1">
      <alignment/>
    </xf>
    <xf numFmtId="43" fontId="26" fillId="0" borderId="45" xfId="57" applyFont="1" applyBorder="1" applyAlignment="1">
      <alignment horizontal="center"/>
    </xf>
    <xf numFmtId="43" fontId="26" fillId="0" borderId="35" xfId="57" applyFont="1" applyBorder="1" applyAlignment="1">
      <alignment horizontal="center"/>
    </xf>
    <xf numFmtId="43" fontId="26" fillId="0" borderId="37" xfId="57" applyFont="1" applyBorder="1" applyAlignment="1">
      <alignment horizontal="center"/>
    </xf>
    <xf numFmtId="43" fontId="26" fillId="0" borderId="0" xfId="57" applyFont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43" fontId="29" fillId="0" borderId="0" xfId="57" applyFont="1" applyAlignment="1">
      <alignment horizontal="right"/>
    </xf>
    <xf numFmtId="49" fontId="26" fillId="0" borderId="0" xfId="0" applyNumberFormat="1" applyFont="1" applyAlignment="1">
      <alignment horizontal="left"/>
    </xf>
    <xf numFmtId="2" fontId="29" fillId="0" borderId="0" xfId="0" applyNumberFormat="1" applyFont="1" applyAlignment="1">
      <alignment/>
    </xf>
    <xf numFmtId="43" fontId="2" fillId="0" borderId="33" xfId="57" applyFont="1" applyBorder="1" applyAlignment="1">
      <alignment/>
    </xf>
    <xf numFmtId="0" fontId="1" fillId="0" borderId="46" xfId="0" applyFont="1" applyBorder="1" applyAlignment="1" quotePrefix="1">
      <alignment horizontal="center"/>
    </xf>
    <xf numFmtId="15" fontId="1" fillId="0" borderId="47" xfId="0" applyNumberFormat="1" applyFont="1" applyBorder="1" applyAlignment="1">
      <alignment horizontal="center"/>
    </xf>
    <xf numFmtId="0" fontId="31" fillId="0" borderId="0" xfId="0" applyFont="1" applyAlignment="1">
      <alignment/>
    </xf>
    <xf numFmtId="43" fontId="31" fillId="0" borderId="0" xfId="57" applyFont="1" applyAlignment="1">
      <alignment horizontal="center"/>
    </xf>
    <xf numFmtId="43" fontId="26" fillId="0" borderId="23" xfId="57" applyFont="1" applyBorder="1" applyAlignment="1">
      <alignment horizontal="right"/>
    </xf>
    <xf numFmtId="43" fontId="31" fillId="0" borderId="0" xfId="57" applyFont="1" applyAlignment="1">
      <alignment/>
    </xf>
    <xf numFmtId="0" fontId="26" fillId="0" borderId="25" xfId="0" applyFont="1" applyBorder="1" applyAlignment="1">
      <alignment/>
    </xf>
    <xf numFmtId="0" fontId="26" fillId="0" borderId="45" xfId="0" applyFont="1" applyBorder="1" applyAlignment="1">
      <alignment/>
    </xf>
    <xf numFmtId="49" fontId="26" fillId="0" borderId="0" xfId="0" applyNumberFormat="1" applyFont="1" applyAlignment="1">
      <alignment/>
    </xf>
    <xf numFmtId="0" fontId="6" fillId="0" borderId="0" xfId="0" applyFont="1" applyAlignment="1">
      <alignment/>
    </xf>
    <xf numFmtId="59" fontId="1" fillId="0" borderId="48" xfId="0" applyNumberFormat="1" applyFont="1" applyBorder="1" applyAlignment="1" quotePrefix="1">
      <alignment horizontal="center"/>
    </xf>
    <xf numFmtId="43" fontId="29" fillId="0" borderId="49" xfId="57" applyFont="1" applyBorder="1" applyAlignment="1">
      <alignment/>
    </xf>
    <xf numFmtId="43" fontId="1" fillId="0" borderId="0" xfId="0" applyNumberFormat="1" applyFont="1" applyBorder="1" applyAlignment="1">
      <alignment/>
    </xf>
    <xf numFmtId="43" fontId="31" fillId="0" borderId="0" xfId="57" applyFont="1" applyBorder="1" applyAlignment="1">
      <alignment/>
    </xf>
    <xf numFmtId="204" fontId="31" fillId="0" borderId="0" xfId="57" applyNumberFormat="1" applyFont="1" applyBorder="1" applyAlignment="1">
      <alignment/>
    </xf>
    <xf numFmtId="0" fontId="2" fillId="0" borderId="43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59" fontId="1" fillId="0" borderId="48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3" fontId="2" fillId="0" borderId="50" xfId="57" applyFont="1" applyBorder="1" applyAlignment="1">
      <alignment/>
    </xf>
    <xf numFmtId="0" fontId="1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6" fillId="0" borderId="44" xfId="0" applyFont="1" applyBorder="1" applyAlignment="1">
      <alignment horizontal="center"/>
    </xf>
    <xf numFmtId="43" fontId="6" fillId="0" borderId="27" xfId="57" applyFont="1" applyBorder="1" applyAlignment="1">
      <alignment/>
    </xf>
    <xf numFmtId="0" fontId="6" fillId="0" borderId="27" xfId="0" applyFont="1" applyBorder="1" applyAlignment="1">
      <alignment/>
    </xf>
    <xf numFmtId="43" fontId="6" fillId="0" borderId="28" xfId="57" applyFont="1" applyBorder="1" applyAlignment="1">
      <alignment/>
    </xf>
    <xf numFmtId="43" fontId="6" fillId="0" borderId="23" xfId="57" applyFont="1" applyBorder="1" applyAlignment="1">
      <alignment horizontal="right"/>
    </xf>
    <xf numFmtId="43" fontId="6" fillId="0" borderId="24" xfId="57" applyFont="1" applyBorder="1" applyAlignment="1">
      <alignment horizontal="right"/>
    </xf>
    <xf numFmtId="0" fontId="6" fillId="0" borderId="28" xfId="0" applyFont="1" applyBorder="1" applyAlignment="1">
      <alignment/>
    </xf>
    <xf numFmtId="43" fontId="6" fillId="0" borderId="51" xfId="57" applyFont="1" applyBorder="1" applyAlignment="1">
      <alignment/>
    </xf>
    <xf numFmtId="0" fontId="6" fillId="0" borderId="2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9" fillId="0" borderId="23" xfId="0" applyFont="1" applyBorder="1" applyAlignment="1">
      <alignment/>
    </xf>
    <xf numFmtId="0" fontId="2" fillId="0" borderId="28" xfId="0" applyFont="1" applyBorder="1" applyAlignment="1">
      <alignment/>
    </xf>
    <xf numFmtId="0" fontId="34" fillId="0" borderId="23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32" xfId="0" applyFont="1" applyBorder="1" applyAlignment="1">
      <alignment horizontal="center"/>
    </xf>
    <xf numFmtId="43" fontId="2" fillId="0" borderId="42" xfId="57" applyFont="1" applyBorder="1" applyAlignment="1">
      <alignment/>
    </xf>
    <xf numFmtId="0" fontId="2" fillId="0" borderId="42" xfId="0" applyFont="1" applyBorder="1" applyAlignment="1">
      <alignment/>
    </xf>
    <xf numFmtId="0" fontId="2" fillId="0" borderId="0" xfId="0" applyFont="1" applyAlignment="1">
      <alignment/>
    </xf>
    <xf numFmtId="0" fontId="6" fillId="0" borderId="3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4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7" fillId="0" borderId="33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15" fontId="21" fillId="0" borderId="29" xfId="0" applyNumberFormat="1" applyFont="1" applyBorder="1" applyAlignment="1">
      <alignment horizontal="left"/>
    </xf>
    <xf numFmtId="15" fontId="1" fillId="0" borderId="30" xfId="0" applyNumberFormat="1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29" fillId="0" borderId="44" xfId="0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29" fillId="0" borderId="52" xfId="0" applyFont="1" applyBorder="1" applyAlignment="1">
      <alignment horizontal="center"/>
    </xf>
    <xf numFmtId="0" fontId="29" fillId="0" borderId="5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4" xfId="0" applyFont="1" applyBorder="1" applyAlignment="1" quotePrefix="1">
      <alignment horizontal="center"/>
    </xf>
    <xf numFmtId="0" fontId="6" fillId="0" borderId="35" xfId="0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3" fontId="31" fillId="42" borderId="0" xfId="57" applyFont="1" applyFill="1" applyBorder="1" applyAlignment="1">
      <alignment/>
    </xf>
    <xf numFmtId="43" fontId="26" fillId="42" borderId="0" xfId="57" applyFont="1" applyFill="1" applyBorder="1" applyAlignment="1">
      <alignment/>
    </xf>
    <xf numFmtId="43" fontId="26" fillId="0" borderId="24" xfId="57" applyFont="1" applyBorder="1" applyAlignment="1">
      <alignment/>
    </xf>
    <xf numFmtId="43" fontId="32" fillId="42" borderId="0" xfId="57" applyFont="1" applyFill="1" applyBorder="1" applyAlignment="1">
      <alignment shrinkToFit="1"/>
    </xf>
    <xf numFmtId="0" fontId="26" fillId="42" borderId="0" xfId="0" applyFont="1" applyFill="1" applyBorder="1" applyAlignment="1">
      <alignment/>
    </xf>
    <xf numFmtId="43" fontId="26" fillId="42" borderId="0" xfId="0" applyNumberFormat="1" applyFont="1" applyFill="1" applyBorder="1" applyAlignment="1">
      <alignment/>
    </xf>
    <xf numFmtId="43" fontId="33" fillId="42" borderId="0" xfId="57" applyFont="1" applyFill="1" applyBorder="1" applyAlignment="1">
      <alignment shrinkToFit="1"/>
    </xf>
  </cellXfs>
  <cellStyles count="6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Bad" xfId="33"/>
    <cellStyle name="Calculation" xfId="34"/>
    <cellStyle name="Check Cell" xfId="35"/>
    <cellStyle name="Emphasis 1" xfId="36"/>
    <cellStyle name="Emphasis 2" xfId="37"/>
    <cellStyle name="Emphasis 3" xfId="38"/>
    <cellStyle name="Followed Hyperlink" xfId="39"/>
    <cellStyle name="Good" xfId="40"/>
    <cellStyle name="Heading 1" xfId="41"/>
    <cellStyle name="Heading 2" xfId="42"/>
    <cellStyle name="Heading 3" xfId="43"/>
    <cellStyle name="Heading 4" xfId="44"/>
    <cellStyle name="Hyperlink" xfId="45"/>
    <cellStyle name="Input" xfId="46"/>
    <cellStyle name="Linked Cell" xfId="47"/>
    <cellStyle name="Neutral" xfId="48"/>
    <cellStyle name="Note" xfId="49"/>
    <cellStyle name="Output" xfId="50"/>
    <cellStyle name="Sheet Title" xfId="51"/>
    <cellStyle name="Total" xfId="52"/>
    <cellStyle name="Warning Text" xfId="53"/>
    <cellStyle name="การคำนวณ" xfId="54"/>
    <cellStyle name="ข้อความเตือน" xfId="55"/>
    <cellStyle name="ข้อความอธิบาย" xfId="56"/>
    <cellStyle name="Comma" xfId="57"/>
    <cellStyle name="Comma [0]" xfId="58"/>
    <cellStyle name="Currency" xfId="59"/>
    <cellStyle name="Currency [0]" xfId="60"/>
    <cellStyle name="ชื่อเรื่อง" xfId="61"/>
    <cellStyle name="เซลล์ตรวจสอบ" xfId="62"/>
    <cellStyle name="เซลล์ที่มีการเชื่อมโยง" xfId="63"/>
    <cellStyle name="ดี" xfId="64"/>
    <cellStyle name="ป้อนค่า" xfId="65"/>
    <cellStyle name="ปานกลาง" xfId="66"/>
    <cellStyle name="Percent" xfId="67"/>
    <cellStyle name="ผลรวม" xfId="68"/>
    <cellStyle name="แย่" xfId="69"/>
    <cellStyle name="ส่วนที่ถูกเน้น1" xfId="70"/>
    <cellStyle name="ส่วนที่ถูกเน้น2" xfId="71"/>
    <cellStyle name="ส่วนที่ถูกเน้น3" xfId="72"/>
    <cellStyle name="ส่วนที่ถูกเน้น4" xfId="73"/>
    <cellStyle name="ส่วนที่ถูกเน้น5" xfId="74"/>
    <cellStyle name="ส่วนที่ถูกเน้น6" xfId="75"/>
    <cellStyle name="แสดงผล" xfId="76"/>
    <cellStyle name="หมายเหตุ" xfId="77"/>
    <cellStyle name="หัวเรื่อง 1" xfId="78"/>
    <cellStyle name="หัวเรื่อง 2" xfId="79"/>
    <cellStyle name="หัวเรื่อง 3" xfId="80"/>
    <cellStyle name="หัวเรื่อง 4" xfId="8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47625</xdr:rowOff>
    </xdr:from>
    <xdr:to>
      <xdr:col>6</xdr:col>
      <xdr:colOff>552450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381000"/>
          <a:ext cx="1152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542925</xdr:colOff>
      <xdr:row>18</xdr:row>
      <xdr:rowOff>142875</xdr:rowOff>
    </xdr:from>
    <xdr:to>
      <xdr:col>8</xdr:col>
      <xdr:colOff>314325</xdr:colOff>
      <xdr:row>20</xdr:row>
      <xdr:rowOff>133350</xdr:rowOff>
    </xdr:to>
    <xdr:pic>
      <xdr:nvPicPr>
        <xdr:cNvPr id="2" name="Picture 132" descr="ลายเซ็นต์นายกหนึ่ง"/>
        <xdr:cNvPicPr preferRelativeResize="1">
          <a:picLocks noChangeAspect="1"/>
        </xdr:cNvPicPr>
      </xdr:nvPicPr>
      <xdr:blipFill>
        <a:blip r:embed="rId2"/>
        <a:srcRect l="12121" t="31130" r="9091"/>
        <a:stretch>
          <a:fillRect/>
        </a:stretch>
      </xdr:blipFill>
      <xdr:spPr>
        <a:xfrm>
          <a:off x="3419475" y="4905375"/>
          <a:ext cx="1600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K23"/>
  <sheetViews>
    <sheetView tabSelected="1" zoomScalePageLayoutView="0" workbookViewId="0" topLeftCell="A1">
      <selection activeCell="K24" sqref="K24"/>
    </sheetView>
  </sheetViews>
  <sheetFormatPr defaultColWidth="9.140625" defaultRowHeight="12.75"/>
  <cols>
    <col min="1" max="1" width="6.57421875" style="1" customWidth="1"/>
    <col min="2" max="16384" width="9.140625" style="1" customWidth="1"/>
  </cols>
  <sheetData>
    <row r="6" spans="2:11" ht="23.25">
      <c r="B6" s="237" t="s">
        <v>273</v>
      </c>
      <c r="C6" s="237"/>
      <c r="D6" s="237"/>
      <c r="E6" s="237"/>
      <c r="F6" s="237"/>
      <c r="G6" s="237"/>
      <c r="H6" s="237"/>
      <c r="I6" s="237"/>
      <c r="J6" s="237"/>
      <c r="K6" s="237"/>
    </row>
    <row r="7" spans="2:11" ht="23.25">
      <c r="B7" s="237" t="s">
        <v>342</v>
      </c>
      <c r="C7" s="237"/>
      <c r="D7" s="237"/>
      <c r="E7" s="237"/>
      <c r="F7" s="237"/>
      <c r="G7" s="237"/>
      <c r="H7" s="237"/>
      <c r="I7" s="237"/>
      <c r="J7" s="237"/>
      <c r="K7" s="237"/>
    </row>
    <row r="8" spans="2:11" ht="23.25">
      <c r="B8" s="237" t="s">
        <v>274</v>
      </c>
      <c r="C8" s="237"/>
      <c r="D8" s="237"/>
      <c r="E8" s="237"/>
      <c r="F8" s="237"/>
      <c r="G8" s="237"/>
      <c r="H8" s="237"/>
      <c r="I8" s="237"/>
      <c r="J8" s="237"/>
      <c r="K8" s="237"/>
    </row>
    <row r="10" ht="23.25">
      <c r="C10" s="1" t="s">
        <v>275</v>
      </c>
    </row>
    <row r="11" ht="23.25">
      <c r="B11" s="1" t="s">
        <v>276</v>
      </c>
    </row>
    <row r="12" ht="23.25">
      <c r="B12" s="1" t="s">
        <v>277</v>
      </c>
    </row>
    <row r="13" ht="23.25">
      <c r="B13" s="1" t="s">
        <v>278</v>
      </c>
    </row>
    <row r="15" ht="23.25">
      <c r="C15" s="1" t="s">
        <v>279</v>
      </c>
    </row>
    <row r="16" ht="23.25">
      <c r="B16" s="1" t="s">
        <v>343</v>
      </c>
    </row>
    <row r="18" ht="23.25">
      <c r="D18" s="1" t="s">
        <v>380</v>
      </c>
    </row>
    <row r="22" spans="6:9" ht="23.25">
      <c r="F22" s="237" t="s">
        <v>204</v>
      </c>
      <c r="G22" s="237"/>
      <c r="H22" s="237"/>
      <c r="I22" s="237"/>
    </row>
    <row r="23" spans="6:9" ht="23.25">
      <c r="F23" s="237" t="s">
        <v>109</v>
      </c>
      <c r="G23" s="237"/>
      <c r="H23" s="237"/>
      <c r="I23" s="237"/>
    </row>
  </sheetData>
  <sheetProtection/>
  <mergeCells count="5">
    <mergeCell ref="F22:I22"/>
    <mergeCell ref="F23:I23"/>
    <mergeCell ref="B6:K6"/>
    <mergeCell ref="B7:K7"/>
    <mergeCell ref="B8:K8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SheetLayoutView="100" zoomScalePageLayoutView="0" workbookViewId="0" topLeftCell="A16">
      <selection activeCell="H10" sqref="H10"/>
    </sheetView>
  </sheetViews>
  <sheetFormatPr defaultColWidth="9.140625" defaultRowHeight="12.75"/>
  <cols>
    <col min="1" max="1" width="37.00390625" style="115" customWidth="1"/>
    <col min="2" max="2" width="7.57421875" style="115" customWidth="1"/>
    <col min="3" max="3" width="20.421875" style="116" customWidth="1"/>
    <col min="4" max="4" width="22.8515625" style="116" customWidth="1"/>
    <col min="5" max="5" width="16.7109375" style="115" customWidth="1"/>
    <col min="6" max="6" width="13.421875" style="116" customWidth="1"/>
    <col min="7" max="7" width="11.8515625" style="115" customWidth="1"/>
    <col min="8" max="9" width="12.00390625" style="115" bestFit="1" customWidth="1"/>
    <col min="10" max="16384" width="9.140625" style="115" customWidth="1"/>
  </cols>
  <sheetData>
    <row r="1" spans="1:4" ht="18.75">
      <c r="A1" s="238" t="s">
        <v>86</v>
      </c>
      <c r="B1" s="238"/>
      <c r="C1" s="238"/>
      <c r="D1" s="238"/>
    </row>
    <row r="2" spans="1:4" ht="18.75">
      <c r="A2" s="238" t="s">
        <v>115</v>
      </c>
      <c r="B2" s="238"/>
      <c r="C2" s="238"/>
      <c r="D2" s="238"/>
    </row>
    <row r="3" spans="1:4" ht="18.75">
      <c r="A3" s="238" t="s">
        <v>336</v>
      </c>
      <c r="B3" s="238"/>
      <c r="C3" s="238"/>
      <c r="D3" s="238"/>
    </row>
    <row r="4" spans="1:8" ht="18.75">
      <c r="A4" s="117" t="s">
        <v>87</v>
      </c>
      <c r="B4" s="117" t="s">
        <v>88</v>
      </c>
      <c r="C4" s="118" t="s">
        <v>89</v>
      </c>
      <c r="D4" s="118" t="s">
        <v>90</v>
      </c>
      <c r="E4" s="190"/>
      <c r="F4" s="191"/>
      <c r="H4" s="114"/>
    </row>
    <row r="5" spans="1:9" ht="18.75">
      <c r="A5" s="119" t="s">
        <v>91</v>
      </c>
      <c r="B5" s="120" t="s">
        <v>106</v>
      </c>
      <c r="C5" s="108">
        <f>SUM(0)</f>
        <v>0</v>
      </c>
      <c r="D5" s="108"/>
      <c r="E5" s="121"/>
      <c r="F5" s="201"/>
      <c r="G5" s="122"/>
      <c r="H5" s="123"/>
      <c r="I5" s="123"/>
    </row>
    <row r="6" spans="1:8" ht="18.75">
      <c r="A6" s="119" t="s">
        <v>199</v>
      </c>
      <c r="B6" s="120" t="s">
        <v>200</v>
      </c>
      <c r="C6" s="108">
        <f>SUM(0)</f>
        <v>0</v>
      </c>
      <c r="D6" s="108"/>
      <c r="E6" s="121"/>
      <c r="F6" s="202"/>
      <c r="G6" s="122"/>
      <c r="H6" s="123"/>
    </row>
    <row r="7" spans="1:9" ht="18.75">
      <c r="A7" s="124" t="s">
        <v>110</v>
      </c>
      <c r="B7" s="120" t="s">
        <v>116</v>
      </c>
      <c r="C7" s="108">
        <f>SUM(1110430.58-1110430.58+960744.02)</f>
        <v>960744.02</v>
      </c>
      <c r="D7" s="269"/>
      <c r="E7" s="270"/>
      <c r="F7" s="267"/>
      <c r="G7" s="268"/>
      <c r="H7" s="271"/>
      <c r="I7" s="272"/>
    </row>
    <row r="8" spans="1:9" ht="18.75">
      <c r="A8" s="124" t="s">
        <v>92</v>
      </c>
      <c r="B8" s="120" t="s">
        <v>117</v>
      </c>
      <c r="C8" s="108">
        <f>SUM(6106962.68+1110430.58-1086970.21+600)</f>
        <v>6131023.05</v>
      </c>
      <c r="D8" s="269"/>
      <c r="E8" s="270"/>
      <c r="F8" s="267"/>
      <c r="G8" s="268"/>
      <c r="H8" s="271"/>
      <c r="I8" s="271"/>
    </row>
    <row r="9" spans="1:9" ht="18.75">
      <c r="A9" s="124" t="s">
        <v>94</v>
      </c>
      <c r="B9" s="120" t="s">
        <v>118</v>
      </c>
      <c r="C9" s="108">
        <f>SUM(225184.74)</f>
        <v>225184.74</v>
      </c>
      <c r="D9" s="269"/>
      <c r="E9" s="270"/>
      <c r="F9" s="267"/>
      <c r="G9" s="268"/>
      <c r="H9" s="271"/>
      <c r="I9" s="271"/>
    </row>
    <row r="10" spans="1:9" ht="18.75">
      <c r="A10" s="124" t="s">
        <v>3</v>
      </c>
      <c r="B10" s="120" t="s">
        <v>4</v>
      </c>
      <c r="C10" s="108">
        <f>SUM(6600459.59+150-657666.14)</f>
        <v>5942943.45</v>
      </c>
      <c r="D10" s="269"/>
      <c r="E10" s="273"/>
      <c r="F10" s="267"/>
      <c r="G10" s="268"/>
      <c r="H10" s="272"/>
      <c r="I10" s="271"/>
    </row>
    <row r="11" spans="1:9" ht="18.75">
      <c r="A11" s="124" t="s">
        <v>93</v>
      </c>
      <c r="B11" s="120" t="s">
        <v>152</v>
      </c>
      <c r="C11" s="108">
        <f>SUM(1000706.75+984.13+0.02)</f>
        <v>1001690.9</v>
      </c>
      <c r="D11" s="269"/>
      <c r="E11" s="270"/>
      <c r="F11" s="267"/>
      <c r="G11" s="268"/>
      <c r="H11" s="271"/>
      <c r="I11" s="271"/>
    </row>
    <row r="12" spans="1:9" ht="18.75">
      <c r="A12" s="124" t="s">
        <v>151</v>
      </c>
      <c r="B12" s="120" t="s">
        <v>153</v>
      </c>
      <c r="C12" s="108">
        <f>SUM(6712876.01)</f>
        <v>6712876.01</v>
      </c>
      <c r="D12" s="269"/>
      <c r="E12" s="270"/>
      <c r="F12" s="267"/>
      <c r="G12" s="268"/>
      <c r="H12" s="271"/>
      <c r="I12" s="271"/>
    </row>
    <row r="13" spans="1:9" ht="18.75">
      <c r="A13" s="124" t="s">
        <v>294</v>
      </c>
      <c r="B13" s="120" t="s">
        <v>295</v>
      </c>
      <c r="C13" s="108">
        <v>0</v>
      </c>
      <c r="D13" s="269"/>
      <c r="E13" s="268"/>
      <c r="F13" s="268"/>
      <c r="G13" s="268"/>
      <c r="H13" s="271"/>
      <c r="I13" s="271"/>
    </row>
    <row r="14" spans="1:9" ht="18.75">
      <c r="A14" s="124" t="s">
        <v>95</v>
      </c>
      <c r="B14" s="120" t="s">
        <v>119</v>
      </c>
      <c r="C14" s="108">
        <f>SUM(101840)</f>
        <v>101840</v>
      </c>
      <c r="D14" s="269"/>
      <c r="E14" s="271"/>
      <c r="F14" s="268"/>
      <c r="G14" s="268"/>
      <c r="H14" s="271"/>
      <c r="I14" s="271"/>
    </row>
    <row r="15" spans="1:9" ht="18.75">
      <c r="A15" s="124" t="s">
        <v>95</v>
      </c>
      <c r="B15" s="120" t="s">
        <v>183</v>
      </c>
      <c r="C15" s="108">
        <f>SUM(4500)</f>
        <v>4500</v>
      </c>
      <c r="D15" s="269"/>
      <c r="E15" s="272"/>
      <c r="F15" s="268"/>
      <c r="G15" s="268"/>
      <c r="H15" s="272"/>
      <c r="I15" s="271"/>
    </row>
    <row r="16" spans="1:9" ht="18.75">
      <c r="A16" s="124" t="s">
        <v>96</v>
      </c>
      <c r="B16" s="125">
        <v>5100</v>
      </c>
      <c r="C16" s="108">
        <f>SUM(289518.06)</f>
        <v>289518.06</v>
      </c>
      <c r="D16" s="269"/>
      <c r="E16" s="271"/>
      <c r="F16" s="268"/>
      <c r="G16" s="268"/>
      <c r="H16" s="271"/>
      <c r="I16" s="271"/>
    </row>
    <row r="17" spans="1:9" ht="18.75">
      <c r="A17" s="124" t="s">
        <v>97</v>
      </c>
      <c r="B17" s="125">
        <v>5120</v>
      </c>
      <c r="C17" s="108">
        <f>SUM(15000)</f>
        <v>15000</v>
      </c>
      <c r="D17" s="269"/>
      <c r="E17" s="271"/>
      <c r="F17" s="268"/>
      <c r="G17" s="268"/>
      <c r="H17" s="271"/>
      <c r="I17" s="271"/>
    </row>
    <row r="18" spans="1:9" ht="18.75">
      <c r="A18" s="124" t="s">
        <v>176</v>
      </c>
      <c r="B18" s="125">
        <v>5130</v>
      </c>
      <c r="C18" s="108">
        <f>SUM(33000)</f>
        <v>33000</v>
      </c>
      <c r="D18" s="269"/>
      <c r="E18" s="271"/>
      <c r="F18" s="268"/>
      <c r="G18" s="268"/>
      <c r="H18" s="271"/>
      <c r="I18" s="271"/>
    </row>
    <row r="19" spans="1:9" ht="18.75">
      <c r="A19" s="124" t="s">
        <v>98</v>
      </c>
      <c r="B19" s="125">
        <v>5200</v>
      </c>
      <c r="C19" s="108">
        <f>SUM(178517.55)</f>
        <v>178517.55</v>
      </c>
      <c r="D19" s="269"/>
      <c r="E19" s="271"/>
      <c r="F19" s="268"/>
      <c r="G19" s="268"/>
      <c r="H19" s="271"/>
      <c r="I19" s="271"/>
    </row>
    <row r="20" spans="1:9" ht="18.75">
      <c r="A20" s="124" t="s">
        <v>99</v>
      </c>
      <c r="B20" s="125">
        <v>5250</v>
      </c>
      <c r="C20" s="108">
        <f>SUM(124960+5900+5900+3000+3000+3000+32300+32300)</f>
        <v>210360</v>
      </c>
      <c r="D20" s="269"/>
      <c r="E20" s="271"/>
      <c r="F20" s="268"/>
      <c r="G20" s="268"/>
      <c r="H20" s="271"/>
      <c r="I20" s="271"/>
    </row>
    <row r="21" spans="1:9" ht="18.75">
      <c r="A21" s="124" t="s">
        <v>99</v>
      </c>
      <c r="B21" s="125">
        <v>6250</v>
      </c>
      <c r="C21" s="108">
        <f>SUM(59834)</f>
        <v>59834</v>
      </c>
      <c r="D21" s="269"/>
      <c r="E21" s="271"/>
      <c r="F21" s="268"/>
      <c r="G21" s="268"/>
      <c r="H21" s="271"/>
      <c r="I21" s="271"/>
    </row>
    <row r="22" spans="1:9" ht="18.75">
      <c r="A22" s="124" t="s">
        <v>100</v>
      </c>
      <c r="B22" s="125">
        <v>5270</v>
      </c>
      <c r="C22" s="108">
        <v>0</v>
      </c>
      <c r="D22" s="269"/>
      <c r="E22" s="271"/>
      <c r="F22" s="268"/>
      <c r="G22" s="268"/>
      <c r="H22" s="271"/>
      <c r="I22" s="271"/>
    </row>
    <row r="23" spans="1:9" ht="18.75">
      <c r="A23" s="124" t="s">
        <v>100</v>
      </c>
      <c r="B23" s="125">
        <v>6270</v>
      </c>
      <c r="C23" s="108">
        <v>0</v>
      </c>
      <c r="D23" s="269"/>
      <c r="E23" s="272"/>
      <c r="F23" s="268"/>
      <c r="G23" s="268"/>
      <c r="H23" s="271"/>
      <c r="I23" s="271"/>
    </row>
    <row r="24" spans="1:7" ht="18.75">
      <c r="A24" s="124" t="s">
        <v>102</v>
      </c>
      <c r="B24" s="125">
        <v>5300</v>
      </c>
      <c r="C24" s="108">
        <f>SUM(13500)</f>
        <v>13500</v>
      </c>
      <c r="D24" s="108"/>
      <c r="F24" s="122"/>
      <c r="G24" s="122"/>
    </row>
    <row r="25" spans="1:7" ht="18.75">
      <c r="A25" s="124" t="s">
        <v>103</v>
      </c>
      <c r="B25" s="125">
        <v>5400</v>
      </c>
      <c r="C25" s="108">
        <v>0</v>
      </c>
      <c r="D25" s="108"/>
      <c r="F25" s="122"/>
      <c r="G25" s="122"/>
    </row>
    <row r="26" spans="1:7" ht="18.75">
      <c r="A26" s="124" t="s">
        <v>103</v>
      </c>
      <c r="B26" s="125">
        <v>6400</v>
      </c>
      <c r="C26" s="108">
        <v>0</v>
      </c>
      <c r="D26" s="108"/>
      <c r="F26" s="122"/>
      <c r="G26" s="122"/>
    </row>
    <row r="27" spans="1:7" ht="18.75">
      <c r="A27" s="124" t="s">
        <v>101</v>
      </c>
      <c r="B27" s="125">
        <v>5450</v>
      </c>
      <c r="C27" s="108">
        <v>0</v>
      </c>
      <c r="D27" s="108"/>
      <c r="F27" s="122"/>
      <c r="G27" s="122"/>
    </row>
    <row r="28" spans="1:7" ht="18.75">
      <c r="A28" s="124" t="s">
        <v>101</v>
      </c>
      <c r="B28" s="125">
        <v>6450</v>
      </c>
      <c r="C28" s="108">
        <v>0</v>
      </c>
      <c r="D28" s="108"/>
      <c r="F28" s="122"/>
      <c r="G28" s="122"/>
    </row>
    <row r="29" spans="1:7" ht="18.75">
      <c r="A29" s="124" t="s">
        <v>104</v>
      </c>
      <c r="B29" s="125">
        <v>5500</v>
      </c>
      <c r="C29" s="108">
        <f>SUM(0)</f>
        <v>0</v>
      </c>
      <c r="D29" s="108"/>
      <c r="F29" s="122"/>
      <c r="G29" s="122"/>
    </row>
    <row r="30" spans="1:7" ht="18.75">
      <c r="A30" s="124" t="s">
        <v>158</v>
      </c>
      <c r="B30" s="125">
        <v>5550</v>
      </c>
      <c r="C30" s="108">
        <v>0</v>
      </c>
      <c r="D30" s="108"/>
      <c r="F30" s="122"/>
      <c r="G30" s="122"/>
    </row>
    <row r="31" spans="1:7" ht="18.75">
      <c r="A31" s="124" t="s">
        <v>95</v>
      </c>
      <c r="B31" s="125">
        <v>7000</v>
      </c>
      <c r="C31" s="108">
        <f>SUM(0)</f>
        <v>0</v>
      </c>
      <c r="D31" s="108"/>
      <c r="F31" s="122"/>
      <c r="G31" s="122"/>
    </row>
    <row r="32" spans="1:7" ht="18.75">
      <c r="A32" s="124" t="s">
        <v>104</v>
      </c>
      <c r="B32" s="125">
        <v>7500</v>
      </c>
      <c r="C32" s="108">
        <v>0</v>
      </c>
      <c r="D32" s="108"/>
      <c r="F32" s="122"/>
      <c r="G32" s="122"/>
    </row>
    <row r="33" spans="1:7" ht="18.75">
      <c r="A33" s="124" t="s">
        <v>290</v>
      </c>
      <c r="B33" s="125" t="s">
        <v>291</v>
      </c>
      <c r="C33" s="108">
        <v>925252</v>
      </c>
      <c r="D33" s="108"/>
      <c r="F33" s="122"/>
      <c r="G33" s="122"/>
    </row>
    <row r="34" spans="1:7" ht="18.75">
      <c r="A34" s="124" t="s">
        <v>157</v>
      </c>
      <c r="B34" s="120" t="s">
        <v>46</v>
      </c>
      <c r="C34" s="108">
        <f>SUM(85400-5900-5900-3000-3000-3000-32300-32300)</f>
        <v>0</v>
      </c>
      <c r="D34" s="108"/>
      <c r="F34" s="122"/>
      <c r="G34" s="122"/>
    </row>
    <row r="35" spans="1:7" ht="18.75">
      <c r="A35" s="124" t="s">
        <v>347</v>
      </c>
      <c r="B35" s="120">
        <v>600</v>
      </c>
      <c r="C35" s="108"/>
      <c r="D35" s="108">
        <f>SUM(1553148.22-366408.22)</f>
        <v>1186740</v>
      </c>
      <c r="F35" s="122"/>
      <c r="G35" s="122"/>
    </row>
    <row r="36" spans="1:7" ht="18.75">
      <c r="A36" s="124" t="s">
        <v>313</v>
      </c>
      <c r="B36" s="120">
        <v>601</v>
      </c>
      <c r="C36" s="108"/>
      <c r="D36" s="108">
        <v>0</v>
      </c>
      <c r="F36" s="122"/>
      <c r="G36" s="122"/>
    </row>
    <row r="37" spans="1:7" ht="18.75">
      <c r="A37" s="124" t="s">
        <v>348</v>
      </c>
      <c r="B37" s="120">
        <v>604</v>
      </c>
      <c r="C37" s="108"/>
      <c r="D37" s="108">
        <v>736790</v>
      </c>
      <c r="F37" s="122"/>
      <c r="G37" s="122"/>
    </row>
    <row r="38" spans="1:7" ht="18.75">
      <c r="A38" s="124" t="s">
        <v>105</v>
      </c>
      <c r="B38" s="120" t="s">
        <v>120</v>
      </c>
      <c r="C38" s="108"/>
      <c r="D38" s="108">
        <v>11176027</v>
      </c>
      <c r="E38" s="123"/>
      <c r="F38" s="122"/>
      <c r="G38" s="122"/>
    </row>
    <row r="39" spans="1:7" ht="18.75">
      <c r="A39" s="124" t="s">
        <v>308</v>
      </c>
      <c r="B39" s="120">
        <v>704</v>
      </c>
      <c r="C39" s="108">
        <f>SUM(469800-600)</f>
        <v>469200</v>
      </c>
      <c r="D39" s="108"/>
      <c r="E39" s="123"/>
      <c r="F39" s="122"/>
      <c r="G39" s="122"/>
    </row>
    <row r="40" spans="1:7" ht="18.75">
      <c r="A40" s="124" t="s">
        <v>16</v>
      </c>
      <c r="B40" s="125" t="s">
        <v>107</v>
      </c>
      <c r="C40" s="108"/>
      <c r="D40" s="108">
        <v>7661816.71</v>
      </c>
      <c r="E40" s="123"/>
      <c r="F40" s="122"/>
      <c r="G40" s="122"/>
    </row>
    <row r="41" spans="1:7" ht="18.75">
      <c r="A41" s="124" t="s">
        <v>280</v>
      </c>
      <c r="B41" s="125">
        <v>821</v>
      </c>
      <c r="C41" s="108"/>
      <c r="D41" s="108">
        <v>961878.17</v>
      </c>
      <c r="E41" s="123"/>
      <c r="F41" s="122"/>
      <c r="G41" s="122"/>
    </row>
    <row r="42" spans="1:7" ht="18.75">
      <c r="A42" s="124" t="s">
        <v>281</v>
      </c>
      <c r="B42" s="125">
        <v>900</v>
      </c>
      <c r="C42" s="108"/>
      <c r="D42" s="108">
        <v>1551731.9</v>
      </c>
      <c r="E42" s="126"/>
      <c r="F42" s="122"/>
      <c r="G42" s="122"/>
    </row>
    <row r="43" spans="1:6" ht="19.5" thickBot="1">
      <c r="A43" s="194"/>
      <c r="B43" s="195"/>
      <c r="C43" s="127">
        <f>SUM(C5:C42)</f>
        <v>23274983.78</v>
      </c>
      <c r="D43" s="127">
        <f>SUM(D35:D42)</f>
        <v>23274983.78</v>
      </c>
      <c r="E43" s="123"/>
      <c r="F43" s="193"/>
    </row>
    <row r="44" ht="19.5" thickTop="1">
      <c r="E44" s="123"/>
    </row>
    <row r="47" ht="18.75">
      <c r="C47" s="193"/>
    </row>
    <row r="48" ht="18.75">
      <c r="C48" s="193"/>
    </row>
    <row r="49" ht="18.75">
      <c r="C49" s="193"/>
    </row>
    <row r="53" spans="1:4" ht="18.75">
      <c r="A53" s="238"/>
      <c r="B53" s="238"/>
      <c r="C53" s="238"/>
      <c r="D53" s="238"/>
    </row>
    <row r="56" spans="1:6" ht="18.75">
      <c r="A56" s="238"/>
      <c r="B56" s="238"/>
      <c r="C56" s="238"/>
      <c r="D56" s="238"/>
      <c r="F56" s="115"/>
    </row>
    <row r="57" spans="1:4" ht="18.75">
      <c r="A57" s="238"/>
      <c r="B57" s="238"/>
      <c r="C57" s="238"/>
      <c r="D57" s="238"/>
    </row>
    <row r="58" spans="1:4" ht="18.75">
      <c r="A58" s="238"/>
      <c r="B58" s="238"/>
      <c r="C58" s="238"/>
      <c r="D58" s="238"/>
    </row>
    <row r="59" spans="1:4" ht="18.75">
      <c r="A59" s="238"/>
      <c r="B59" s="238"/>
      <c r="C59" s="238"/>
      <c r="D59" s="238"/>
    </row>
    <row r="60" spans="3:4" ht="18.75">
      <c r="C60" s="115"/>
      <c r="D60" s="115"/>
    </row>
    <row r="61" spans="1:5" ht="18.75">
      <c r="A61" s="114"/>
      <c r="B61" s="238"/>
      <c r="C61" s="238"/>
      <c r="D61" s="238"/>
      <c r="E61" s="128"/>
    </row>
    <row r="62" spans="1:4" ht="18.75">
      <c r="A62" s="114"/>
      <c r="C62" s="115"/>
      <c r="D62" s="115"/>
    </row>
    <row r="63" spans="1:4" ht="18.75">
      <c r="A63" s="114"/>
      <c r="C63" s="115"/>
      <c r="D63" s="115"/>
    </row>
    <row r="64" spans="1:5" ht="18.75">
      <c r="A64" s="114"/>
      <c r="B64" s="238"/>
      <c r="C64" s="238"/>
      <c r="D64" s="238"/>
      <c r="E64" s="128"/>
    </row>
    <row r="65" spans="1:5" ht="18.75">
      <c r="A65" s="114"/>
      <c r="B65" s="238"/>
      <c r="C65" s="238"/>
      <c r="D65" s="238"/>
      <c r="E65" s="128"/>
    </row>
    <row r="66" spans="1:5" ht="18.75">
      <c r="A66" s="128"/>
      <c r="B66" s="128"/>
      <c r="C66" s="128"/>
      <c r="D66" s="114"/>
      <c r="E66" s="128"/>
    </row>
    <row r="67" spans="1:4" ht="18.75">
      <c r="A67" s="238"/>
      <c r="B67" s="238"/>
      <c r="C67" s="238"/>
      <c r="D67" s="238"/>
    </row>
    <row r="68" spans="1:4" ht="18.75">
      <c r="A68" s="129"/>
      <c r="B68" s="129"/>
      <c r="C68" s="130"/>
      <c r="D68" s="130"/>
    </row>
    <row r="69" spans="1:4" ht="18.75">
      <c r="A69" s="129"/>
      <c r="B69" s="129"/>
      <c r="C69" s="129"/>
      <c r="D69" s="129"/>
    </row>
    <row r="70" spans="1:4" ht="18.75">
      <c r="A70" s="239"/>
      <c r="B70" s="239"/>
      <c r="C70" s="239"/>
      <c r="D70" s="239"/>
    </row>
    <row r="71" spans="1:4" ht="18.75">
      <c r="A71" s="239"/>
      <c r="B71" s="239"/>
      <c r="C71" s="239"/>
      <c r="D71" s="239"/>
    </row>
    <row r="91" spans="1:4" ht="18.75">
      <c r="A91" s="238"/>
      <c r="B91" s="238"/>
      <c r="C91" s="238"/>
      <c r="D91" s="238"/>
    </row>
  </sheetData>
  <sheetProtection/>
  <mergeCells count="15">
    <mergeCell ref="A58:D58"/>
    <mergeCell ref="A59:D59"/>
    <mergeCell ref="A1:D1"/>
    <mergeCell ref="A2:D2"/>
    <mergeCell ref="A3:D3"/>
    <mergeCell ref="A53:D53"/>
    <mergeCell ref="A56:D56"/>
    <mergeCell ref="A57:D57"/>
    <mergeCell ref="A91:D91"/>
    <mergeCell ref="B64:D64"/>
    <mergeCell ref="B65:D65"/>
    <mergeCell ref="B61:D61"/>
    <mergeCell ref="A70:D70"/>
    <mergeCell ref="A71:D71"/>
    <mergeCell ref="A67:D67"/>
  </mergeCells>
  <printOptions/>
  <pageMargins left="0.5511811023622047" right="0.5511811023622047" top="0.1968503937007874" bottom="0.07874015748031496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28">
      <selection activeCell="G38" sqref="G38"/>
    </sheetView>
  </sheetViews>
  <sheetFormatPr defaultColWidth="9.140625" defaultRowHeight="12.75"/>
  <cols>
    <col min="1" max="1" width="53.00390625" style="8" customWidth="1"/>
    <col min="2" max="2" width="6.28125" style="8" customWidth="1"/>
    <col min="3" max="3" width="16.421875" style="9" customWidth="1"/>
    <col min="4" max="4" width="20.28125" style="8" customWidth="1"/>
    <col min="5" max="16384" width="9.140625" style="8" customWidth="1"/>
  </cols>
  <sheetData>
    <row r="1" spans="1:4" s="10" customFormat="1" ht="21">
      <c r="A1" s="230" t="s">
        <v>108</v>
      </c>
      <c r="B1" s="230"/>
      <c r="C1" s="230"/>
      <c r="D1" s="230"/>
    </row>
    <row r="2" spans="1:4" s="10" customFormat="1" ht="21">
      <c r="A2" s="230" t="s">
        <v>201</v>
      </c>
      <c r="B2" s="230"/>
      <c r="C2" s="230"/>
      <c r="D2" s="230"/>
    </row>
    <row r="3" spans="1:4" s="10" customFormat="1" ht="21">
      <c r="A3" s="240" t="s">
        <v>338</v>
      </c>
      <c r="B3" s="240"/>
      <c r="C3" s="240"/>
      <c r="D3" s="240"/>
    </row>
    <row r="4" spans="1:4" ht="18">
      <c r="A4" s="65" t="s">
        <v>87</v>
      </c>
      <c r="B4" s="65" t="s">
        <v>88</v>
      </c>
      <c r="C4" s="66" t="s">
        <v>121</v>
      </c>
      <c r="D4" s="65" t="s">
        <v>122</v>
      </c>
    </row>
    <row r="5" spans="1:4" ht="18">
      <c r="A5" s="67"/>
      <c r="B5" s="67"/>
      <c r="C5" s="68"/>
      <c r="D5" s="68"/>
    </row>
    <row r="6" spans="1:5" ht="18">
      <c r="A6" s="69" t="s">
        <v>138</v>
      </c>
      <c r="B6" s="64"/>
      <c r="C6" s="70">
        <f>SUM(C7+C11+C16+C18+C19)</f>
        <v>375590</v>
      </c>
      <c r="D6" s="70">
        <f>SUM(D7+D11+D16+D18+D19)</f>
        <v>1176.83</v>
      </c>
      <c r="E6" s="15"/>
    </row>
    <row r="7" spans="1:5" ht="18">
      <c r="A7" s="71" t="s">
        <v>139</v>
      </c>
      <c r="B7" s="72" t="s">
        <v>30</v>
      </c>
      <c r="C7" s="73">
        <f>SUM(C8:C10)</f>
        <v>69850</v>
      </c>
      <c r="D7" s="73">
        <f>SUM(D8:D10)</f>
        <v>0</v>
      </c>
      <c r="E7" s="15"/>
    </row>
    <row r="8" spans="1:4" ht="18">
      <c r="A8" s="74" t="s">
        <v>123</v>
      </c>
      <c r="B8" s="75" t="s">
        <v>66</v>
      </c>
      <c r="C8" s="76">
        <v>23970</v>
      </c>
      <c r="D8" s="77">
        <v>0</v>
      </c>
    </row>
    <row r="9" spans="1:5" ht="18">
      <c r="A9" s="78" t="s">
        <v>124</v>
      </c>
      <c r="B9" s="79" t="s">
        <v>67</v>
      </c>
      <c r="C9" s="80">
        <v>45750</v>
      </c>
      <c r="D9" s="81">
        <v>0</v>
      </c>
      <c r="E9" s="15"/>
    </row>
    <row r="10" spans="1:4" ht="18">
      <c r="A10" s="82" t="s">
        <v>125</v>
      </c>
      <c r="B10" s="83" t="s">
        <v>68</v>
      </c>
      <c r="C10" s="84">
        <v>130</v>
      </c>
      <c r="D10" s="85">
        <v>0</v>
      </c>
    </row>
    <row r="11" spans="1:4" ht="18">
      <c r="A11" s="71" t="s">
        <v>140</v>
      </c>
      <c r="B11" s="72" t="s">
        <v>32</v>
      </c>
      <c r="C11" s="73">
        <f>SUM(C12:C15)</f>
        <v>350</v>
      </c>
      <c r="D11" s="73">
        <f>SUM(D12:D15)</f>
        <v>192.68</v>
      </c>
    </row>
    <row r="12" spans="1:4" ht="18">
      <c r="A12" s="74" t="s">
        <v>70</v>
      </c>
      <c r="B12" s="75" t="s">
        <v>69</v>
      </c>
      <c r="C12" s="76">
        <v>240</v>
      </c>
      <c r="D12" s="77">
        <v>0</v>
      </c>
    </row>
    <row r="13" spans="1:4" ht="18">
      <c r="A13" s="78" t="s">
        <v>126</v>
      </c>
      <c r="B13" s="79" t="s">
        <v>71</v>
      </c>
      <c r="C13" s="80">
        <v>60</v>
      </c>
      <c r="D13" s="81">
        <v>42.68</v>
      </c>
    </row>
    <row r="14" spans="1:4" ht="18">
      <c r="A14" s="78" t="s">
        <v>127</v>
      </c>
      <c r="B14" s="79" t="s">
        <v>72</v>
      </c>
      <c r="C14" s="80">
        <v>0</v>
      </c>
      <c r="D14" s="81">
        <v>0</v>
      </c>
    </row>
    <row r="15" spans="1:4" ht="18">
      <c r="A15" s="82" t="s">
        <v>329</v>
      </c>
      <c r="B15" s="83" t="s">
        <v>330</v>
      </c>
      <c r="C15" s="84">
        <v>50</v>
      </c>
      <c r="D15" s="85">
        <v>150</v>
      </c>
    </row>
    <row r="16" spans="1:4" ht="18">
      <c r="A16" s="71" t="s">
        <v>141</v>
      </c>
      <c r="B16" s="72" t="s">
        <v>34</v>
      </c>
      <c r="C16" s="73">
        <f>SUM(C17)</f>
        <v>107140</v>
      </c>
      <c r="D16" s="73">
        <f>SUM(D17)</f>
        <v>984.15</v>
      </c>
    </row>
    <row r="17" spans="1:4" ht="18">
      <c r="A17" s="86" t="s">
        <v>128</v>
      </c>
      <c r="B17" s="72" t="s">
        <v>73</v>
      </c>
      <c r="C17" s="87">
        <v>107140</v>
      </c>
      <c r="D17" s="73">
        <v>984.15</v>
      </c>
    </row>
    <row r="18" spans="1:4" ht="18">
      <c r="A18" s="71" t="s">
        <v>142</v>
      </c>
      <c r="B18" s="72" t="s">
        <v>36</v>
      </c>
      <c r="C18" s="73">
        <v>0</v>
      </c>
      <c r="D18" s="73">
        <v>0</v>
      </c>
    </row>
    <row r="19" spans="1:4" ht="18">
      <c r="A19" s="88" t="s">
        <v>143</v>
      </c>
      <c r="B19" s="75" t="s">
        <v>38</v>
      </c>
      <c r="C19" s="77">
        <f>SUM(C20:C21)</f>
        <v>198250</v>
      </c>
      <c r="D19" s="77">
        <f>SUM(D20:D21)</f>
        <v>0</v>
      </c>
    </row>
    <row r="20" spans="1:4" ht="18">
      <c r="A20" s="74" t="s">
        <v>129</v>
      </c>
      <c r="B20" s="75" t="s">
        <v>74</v>
      </c>
      <c r="C20" s="76">
        <v>196500</v>
      </c>
      <c r="D20" s="77">
        <v>0</v>
      </c>
    </row>
    <row r="21" spans="1:4" ht="18">
      <c r="A21" s="82" t="s">
        <v>202</v>
      </c>
      <c r="B21" s="83" t="s">
        <v>187</v>
      </c>
      <c r="C21" s="84">
        <v>1750</v>
      </c>
      <c r="D21" s="85">
        <v>0</v>
      </c>
    </row>
    <row r="22" spans="1:4" ht="18">
      <c r="A22" s="82" t="s">
        <v>144</v>
      </c>
      <c r="B22" s="67"/>
      <c r="C22" s="85">
        <f>SUM(C23)</f>
        <v>9808360</v>
      </c>
      <c r="D22" s="85">
        <f>SUM(D23)</f>
        <v>954887.34</v>
      </c>
    </row>
    <row r="23" spans="1:4" ht="18">
      <c r="A23" s="71" t="s">
        <v>139</v>
      </c>
      <c r="B23" s="72" t="s">
        <v>42</v>
      </c>
      <c r="C23" s="73">
        <f>SUM(C24:C31)</f>
        <v>9808360</v>
      </c>
      <c r="D23" s="73">
        <f>SUM(D24:D31)</f>
        <v>954887.34</v>
      </c>
    </row>
    <row r="24" spans="1:4" ht="18">
      <c r="A24" s="74" t="s">
        <v>130</v>
      </c>
      <c r="B24" s="75" t="s">
        <v>75</v>
      </c>
      <c r="C24" s="76">
        <v>0</v>
      </c>
      <c r="D24" s="77">
        <v>0</v>
      </c>
    </row>
    <row r="25" spans="1:4" ht="18">
      <c r="A25" s="78" t="s">
        <v>322</v>
      </c>
      <c r="B25" s="79" t="s">
        <v>76</v>
      </c>
      <c r="C25" s="80">
        <v>6606470</v>
      </c>
      <c r="D25" s="81">
        <f>SUM(129613.06+571929.83)</f>
        <v>701542.8899999999</v>
      </c>
    </row>
    <row r="26" spans="1:4" ht="18">
      <c r="A26" s="78" t="s">
        <v>131</v>
      </c>
      <c r="B26" s="79" t="s">
        <v>77</v>
      </c>
      <c r="C26" s="80">
        <v>8580</v>
      </c>
      <c r="D26" s="81">
        <v>11034.64</v>
      </c>
    </row>
    <row r="27" spans="1:4" ht="18">
      <c r="A27" s="78" t="s">
        <v>132</v>
      </c>
      <c r="B27" s="79" t="s">
        <v>78</v>
      </c>
      <c r="C27" s="80">
        <v>860190</v>
      </c>
      <c r="D27" s="81">
        <v>67297.15</v>
      </c>
    </row>
    <row r="28" spans="1:4" ht="18">
      <c r="A28" s="78" t="s">
        <v>133</v>
      </c>
      <c r="B28" s="79" t="s">
        <v>79</v>
      </c>
      <c r="C28" s="80">
        <v>2072660</v>
      </c>
      <c r="D28" s="81">
        <v>173433.66</v>
      </c>
    </row>
    <row r="29" spans="1:4" ht="18">
      <c r="A29" s="78" t="s">
        <v>134</v>
      </c>
      <c r="B29" s="79" t="s">
        <v>80</v>
      </c>
      <c r="C29" s="80">
        <v>65460</v>
      </c>
      <c r="D29" s="81">
        <v>0</v>
      </c>
    </row>
    <row r="30" spans="1:4" ht="18">
      <c r="A30" s="78" t="s">
        <v>135</v>
      </c>
      <c r="B30" s="79" t="s">
        <v>81</v>
      </c>
      <c r="C30" s="80">
        <v>47090</v>
      </c>
      <c r="D30" s="81">
        <v>0</v>
      </c>
    </row>
    <row r="31" spans="1:4" ht="18">
      <c r="A31" s="82" t="s">
        <v>83</v>
      </c>
      <c r="B31" s="83" t="s">
        <v>82</v>
      </c>
      <c r="C31" s="84">
        <v>147910</v>
      </c>
      <c r="D31" s="85">
        <v>1579</v>
      </c>
    </row>
    <row r="32" spans="1:4" ht="18">
      <c r="A32" s="86" t="s">
        <v>145</v>
      </c>
      <c r="B32" s="64"/>
      <c r="C32" s="73">
        <f>SUM(C33)</f>
        <v>7615990</v>
      </c>
      <c r="D32" s="73">
        <f>SUM(D33)</f>
        <v>0</v>
      </c>
    </row>
    <row r="33" spans="1:4" ht="18">
      <c r="A33" s="71" t="s">
        <v>146</v>
      </c>
      <c r="B33" s="72" t="s">
        <v>44</v>
      </c>
      <c r="C33" s="73">
        <f>SUM(C34)</f>
        <v>7615990</v>
      </c>
      <c r="D33" s="73">
        <f>SUM(D34)</f>
        <v>0</v>
      </c>
    </row>
    <row r="34" spans="1:4" ht="18">
      <c r="A34" s="86" t="s">
        <v>136</v>
      </c>
      <c r="B34" s="72" t="s">
        <v>84</v>
      </c>
      <c r="C34" s="87">
        <v>7615990</v>
      </c>
      <c r="D34" s="73">
        <v>0</v>
      </c>
    </row>
    <row r="35" spans="1:4" ht="18">
      <c r="A35" s="89" t="s">
        <v>195</v>
      </c>
      <c r="B35" s="83"/>
      <c r="C35" s="87">
        <f>SUM(C36)</f>
        <v>0</v>
      </c>
      <c r="D35" s="73">
        <f>SUM(D36)</f>
        <v>5814</v>
      </c>
    </row>
    <row r="36" spans="1:4" ht="18">
      <c r="A36" s="71" t="s">
        <v>196</v>
      </c>
      <c r="B36" s="72">
        <v>3000</v>
      </c>
      <c r="C36" s="87">
        <f>SUM(C37:C38)</f>
        <v>0</v>
      </c>
      <c r="D36" s="73">
        <f>SUM(D37:D39)</f>
        <v>5814</v>
      </c>
    </row>
    <row r="37" spans="1:4" ht="18">
      <c r="A37" s="74" t="s">
        <v>0</v>
      </c>
      <c r="B37" s="75">
        <v>3002</v>
      </c>
      <c r="C37" s="76"/>
      <c r="D37" s="77">
        <v>0</v>
      </c>
    </row>
    <row r="38" spans="1:4" ht="18">
      <c r="A38" s="78" t="s">
        <v>1</v>
      </c>
      <c r="B38" s="79">
        <v>3002</v>
      </c>
      <c r="C38" s="80">
        <v>0</v>
      </c>
      <c r="D38" s="81">
        <v>0</v>
      </c>
    </row>
    <row r="39" spans="1:4" ht="18">
      <c r="A39" s="78" t="s">
        <v>2</v>
      </c>
      <c r="B39" s="79">
        <v>3002</v>
      </c>
      <c r="C39" s="80">
        <v>0</v>
      </c>
      <c r="D39" s="81">
        <v>5814</v>
      </c>
    </row>
    <row r="40" spans="1:4" ht="18.75" thickBot="1">
      <c r="A40" s="203" t="s">
        <v>137</v>
      </c>
      <c r="B40" s="133"/>
      <c r="C40" s="134">
        <f>SUM(C6+C22+C32)</f>
        <v>17799940</v>
      </c>
      <c r="D40" s="111">
        <f>SUM(D6+D22+D32+D36)</f>
        <v>961878.1699999999</v>
      </c>
    </row>
    <row r="41" ht="18.75" thickTop="1"/>
    <row r="44" spans="1:4" ht="23.25">
      <c r="A44" s="237" t="s">
        <v>18</v>
      </c>
      <c r="B44" s="237"/>
      <c r="C44" s="237"/>
      <c r="D44" s="237"/>
    </row>
    <row r="45" spans="1:4" ht="23.25">
      <c r="A45" s="1"/>
      <c r="B45" s="1"/>
      <c r="C45" s="90"/>
      <c r="D45" s="1"/>
    </row>
    <row r="46" spans="1:4" ht="23.25">
      <c r="A46" s="1"/>
      <c r="B46" s="1"/>
      <c r="C46" s="90"/>
      <c r="D46" s="1"/>
    </row>
    <row r="47" spans="1:4" ht="23.25">
      <c r="A47" s="237" t="s">
        <v>192</v>
      </c>
      <c r="B47" s="237"/>
      <c r="C47" s="237"/>
      <c r="D47" s="237"/>
    </row>
    <row r="48" spans="1:4" ht="23.25">
      <c r="A48" s="237" t="s">
        <v>314</v>
      </c>
      <c r="B48" s="237"/>
      <c r="C48" s="237"/>
      <c r="D48" s="237"/>
    </row>
    <row r="49" spans="1:4" ht="23.25">
      <c r="A49" s="237" t="s">
        <v>323</v>
      </c>
      <c r="B49" s="237"/>
      <c r="C49" s="237"/>
      <c r="D49" s="237"/>
    </row>
    <row r="50" spans="1:4" ht="23.25">
      <c r="A50" s="2" t="s">
        <v>193</v>
      </c>
      <c r="B50" s="16"/>
      <c r="C50" s="2" t="s">
        <v>193</v>
      </c>
      <c r="D50" s="2"/>
    </row>
    <row r="51" spans="1:4" ht="23.25">
      <c r="A51" s="2"/>
      <c r="B51" s="16"/>
      <c r="C51" s="2"/>
      <c r="D51" s="2"/>
    </row>
    <row r="52" spans="1:4" ht="23.25">
      <c r="A52" s="2"/>
      <c r="B52" s="1"/>
      <c r="C52" s="1"/>
      <c r="D52" s="1"/>
    </row>
    <row r="53" spans="1:4" ht="23.25">
      <c r="A53" s="2" t="s">
        <v>203</v>
      </c>
      <c r="B53" s="16"/>
      <c r="C53" s="2" t="s">
        <v>194</v>
      </c>
      <c r="D53" s="2"/>
    </row>
    <row r="54" spans="1:4" ht="23.25">
      <c r="A54" s="2" t="s">
        <v>376</v>
      </c>
      <c r="B54" s="16"/>
      <c r="C54" s="2" t="s">
        <v>377</v>
      </c>
      <c r="D54" s="2"/>
    </row>
    <row r="55" s="10" customFormat="1" ht="21">
      <c r="C55" s="60"/>
    </row>
    <row r="56" spans="1:4" s="1" customFormat="1" ht="23.25">
      <c r="A56" s="237" t="s">
        <v>193</v>
      </c>
      <c r="B56" s="237"/>
      <c r="C56" s="237"/>
      <c r="D56" s="237"/>
    </row>
    <row r="57" spans="1:4" s="1" customFormat="1" ht="23.25">
      <c r="A57" s="237"/>
      <c r="B57" s="237"/>
      <c r="C57" s="237"/>
      <c r="D57" s="237"/>
    </row>
    <row r="58" spans="1:4" s="1" customFormat="1" ht="23.25">
      <c r="A58" s="237"/>
      <c r="B58" s="237"/>
      <c r="C58" s="237"/>
      <c r="D58" s="237"/>
    </row>
    <row r="59" spans="1:4" s="1" customFormat="1" ht="23.25">
      <c r="A59" s="237" t="s">
        <v>204</v>
      </c>
      <c r="B59" s="237"/>
      <c r="C59" s="237"/>
      <c r="D59" s="237"/>
    </row>
    <row r="60" spans="1:4" s="1" customFormat="1" ht="23.25">
      <c r="A60" s="237" t="s">
        <v>109</v>
      </c>
      <c r="B60" s="237"/>
      <c r="C60" s="237"/>
      <c r="D60" s="237"/>
    </row>
  </sheetData>
  <sheetProtection/>
  <mergeCells count="12">
    <mergeCell ref="A1:D1"/>
    <mergeCell ref="A2:D2"/>
    <mergeCell ref="A3:D3"/>
    <mergeCell ref="A44:D44"/>
    <mergeCell ref="A47:D47"/>
    <mergeCell ref="A60:D60"/>
    <mergeCell ref="A56:D56"/>
    <mergeCell ref="A57:D57"/>
    <mergeCell ref="A58:D58"/>
    <mergeCell ref="A59:D59"/>
    <mergeCell ref="A48:D48"/>
    <mergeCell ref="A49:D49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B27" sqref="B27:E27"/>
    </sheetView>
  </sheetViews>
  <sheetFormatPr defaultColWidth="9.140625" defaultRowHeight="12.75"/>
  <cols>
    <col min="1" max="1" width="38.28125" style="1" customWidth="1"/>
    <col min="2" max="2" width="12.57421875" style="1" customWidth="1"/>
    <col min="3" max="4" width="11.7109375" style="1" customWidth="1"/>
    <col min="5" max="5" width="13.28125" style="1" customWidth="1"/>
    <col min="6" max="6" width="3.57421875" style="1" customWidth="1"/>
    <col min="7" max="7" width="12.8515625" style="1" customWidth="1"/>
    <col min="8" max="8" width="11.00390625" style="1" customWidth="1"/>
    <col min="9" max="9" width="11.28125" style="1" bestFit="1" customWidth="1"/>
    <col min="10" max="10" width="12.7109375" style="1" customWidth="1"/>
    <col min="11" max="16384" width="9.140625" style="1" customWidth="1"/>
  </cols>
  <sheetData>
    <row r="1" spans="1:5" ht="23.25">
      <c r="A1" s="237" t="s">
        <v>108</v>
      </c>
      <c r="B1" s="237"/>
      <c r="C1" s="237"/>
      <c r="D1" s="237"/>
      <c r="E1" s="237"/>
    </row>
    <row r="2" spans="1:5" ht="23.25">
      <c r="A2" s="237" t="s">
        <v>205</v>
      </c>
      <c r="B2" s="237"/>
      <c r="C2" s="237"/>
      <c r="D2" s="237"/>
      <c r="E2" s="237"/>
    </row>
    <row r="3" spans="1:4" ht="23.25">
      <c r="A3" s="245"/>
      <c r="B3" s="237"/>
      <c r="C3" s="237"/>
      <c r="D3" s="237"/>
    </row>
    <row r="4" spans="1:4" ht="23.25">
      <c r="A4" s="246" t="s">
        <v>339</v>
      </c>
      <c r="B4" s="244"/>
      <c r="C4" s="244"/>
      <c r="D4" s="244"/>
    </row>
    <row r="5" spans="1:10" ht="23.25">
      <c r="A5" s="2"/>
      <c r="B5" s="46"/>
      <c r="C5" s="3" t="s">
        <v>5</v>
      </c>
      <c r="D5" s="3" t="s">
        <v>6</v>
      </c>
      <c r="E5" s="3" t="s">
        <v>7</v>
      </c>
      <c r="G5" s="3" t="s">
        <v>28</v>
      </c>
      <c r="H5" s="3" t="s">
        <v>5</v>
      </c>
      <c r="I5" s="3" t="s">
        <v>6</v>
      </c>
      <c r="J5" s="3" t="s">
        <v>7</v>
      </c>
    </row>
    <row r="6" spans="1:10" ht="23.25">
      <c r="A6" s="1" t="s">
        <v>113</v>
      </c>
      <c r="B6" s="47"/>
      <c r="C6" s="6">
        <f>SUM(H6)</f>
        <v>814.89</v>
      </c>
      <c r="D6" s="5">
        <f aca="true" t="shared" si="0" ref="C6:D12">SUM(I6)</f>
        <v>3173.41</v>
      </c>
      <c r="E6" s="6">
        <f aca="true" t="shared" si="1" ref="E6:E12">SUM(J6)</f>
        <v>631.79</v>
      </c>
      <c r="G6" s="5">
        <v>2990.31</v>
      </c>
      <c r="H6" s="6">
        <v>814.89</v>
      </c>
      <c r="I6" s="5">
        <v>3173.41</v>
      </c>
      <c r="J6" s="6">
        <f aca="true" t="shared" si="2" ref="J6:J11">SUM(G6+H6-I6)</f>
        <v>631.79</v>
      </c>
    </row>
    <row r="7" spans="1:10" ht="23.25">
      <c r="A7" s="1" t="s">
        <v>114</v>
      </c>
      <c r="B7" s="47"/>
      <c r="C7" s="6">
        <f t="shared" si="0"/>
        <v>0</v>
      </c>
      <c r="D7" s="5">
        <f t="shared" si="0"/>
        <v>0</v>
      </c>
      <c r="E7" s="6">
        <f t="shared" si="1"/>
        <v>207964</v>
      </c>
      <c r="G7" s="5">
        <v>207964</v>
      </c>
      <c r="H7" s="6">
        <v>0</v>
      </c>
      <c r="I7" s="5">
        <v>0</v>
      </c>
      <c r="J7" s="6">
        <f t="shared" si="2"/>
        <v>207964</v>
      </c>
    </row>
    <row r="8" spans="1:10" ht="23.25">
      <c r="A8" s="1" t="s">
        <v>111</v>
      </c>
      <c r="B8" s="47"/>
      <c r="C8" s="6">
        <f>SUM(H8)</f>
        <v>0</v>
      </c>
      <c r="D8" s="5">
        <f t="shared" si="0"/>
        <v>0</v>
      </c>
      <c r="E8" s="6">
        <f t="shared" si="1"/>
        <v>2470.8</v>
      </c>
      <c r="G8" s="5">
        <v>2470.8</v>
      </c>
      <c r="H8" s="6">
        <v>0</v>
      </c>
      <c r="I8" s="5">
        <v>0</v>
      </c>
      <c r="J8" s="6">
        <f t="shared" si="2"/>
        <v>2470.8</v>
      </c>
    </row>
    <row r="9" spans="1:10" ht="23.25">
      <c r="A9" s="1" t="s">
        <v>112</v>
      </c>
      <c r="B9" s="47"/>
      <c r="C9" s="6">
        <f>SUM(H9)</f>
        <v>0</v>
      </c>
      <c r="D9" s="5">
        <f t="shared" si="0"/>
        <v>0</v>
      </c>
      <c r="E9" s="6">
        <f t="shared" si="1"/>
        <v>6075.54</v>
      </c>
      <c r="G9" s="5">
        <v>6075.54</v>
      </c>
      <c r="H9" s="6">
        <v>0</v>
      </c>
      <c r="I9" s="5">
        <v>0</v>
      </c>
      <c r="J9" s="6">
        <f t="shared" si="2"/>
        <v>6075.54</v>
      </c>
    </row>
    <row r="10" spans="1:10" ht="23.25">
      <c r="A10" s="1" t="s">
        <v>148</v>
      </c>
      <c r="B10" s="47"/>
      <c r="C10" s="6">
        <f t="shared" si="0"/>
        <v>0</v>
      </c>
      <c r="D10" s="5">
        <f t="shared" si="0"/>
        <v>0</v>
      </c>
      <c r="E10" s="6">
        <f t="shared" si="1"/>
        <v>182473.03</v>
      </c>
      <c r="G10" s="5">
        <v>182473.03</v>
      </c>
      <c r="H10" s="6">
        <v>0</v>
      </c>
      <c r="I10" s="5">
        <v>0</v>
      </c>
      <c r="J10" s="6">
        <f t="shared" si="2"/>
        <v>182473.03</v>
      </c>
    </row>
    <row r="11" spans="1:10" ht="23.25">
      <c r="A11" s="1" t="s">
        <v>307</v>
      </c>
      <c r="B11" s="47"/>
      <c r="C11" s="6">
        <f t="shared" si="0"/>
        <v>0</v>
      </c>
      <c r="D11" s="5">
        <f t="shared" si="0"/>
        <v>0</v>
      </c>
      <c r="E11" s="6">
        <f t="shared" si="1"/>
        <v>1150436.74</v>
      </c>
      <c r="G11" s="5">
        <v>1150436.74</v>
      </c>
      <c r="H11" s="6">
        <v>0</v>
      </c>
      <c r="I11" s="5">
        <v>0</v>
      </c>
      <c r="J11" s="6">
        <f t="shared" si="2"/>
        <v>1150436.74</v>
      </c>
    </row>
    <row r="12" spans="1:10" ht="23.25">
      <c r="A12" s="1" t="s">
        <v>190</v>
      </c>
      <c r="B12" s="47"/>
      <c r="C12" s="6">
        <f t="shared" si="0"/>
        <v>0</v>
      </c>
      <c r="D12" s="5">
        <f t="shared" si="0"/>
        <v>0</v>
      </c>
      <c r="E12" s="6">
        <f t="shared" si="1"/>
        <v>1680</v>
      </c>
      <c r="G12" s="5">
        <v>1680</v>
      </c>
      <c r="H12" s="6">
        <v>0</v>
      </c>
      <c r="I12" s="5">
        <v>0</v>
      </c>
      <c r="J12" s="6">
        <f>SUM(G12+H12-I12)</f>
        <v>1680</v>
      </c>
    </row>
    <row r="13" spans="1:10" ht="23.25">
      <c r="A13" s="1" t="s">
        <v>305</v>
      </c>
      <c r="B13" s="47"/>
      <c r="C13" s="6">
        <f aca="true" t="shared" si="3" ref="C13:E14">SUM(H13)</f>
        <v>0</v>
      </c>
      <c r="D13" s="5">
        <f t="shared" si="3"/>
        <v>0</v>
      </c>
      <c r="E13" s="6">
        <f t="shared" si="3"/>
        <v>0</v>
      </c>
      <c r="G13" s="5">
        <v>0</v>
      </c>
      <c r="H13" s="6">
        <v>0</v>
      </c>
      <c r="I13" s="5">
        <v>0</v>
      </c>
      <c r="J13" s="6">
        <f>SUM(G13+H13-I13)</f>
        <v>0</v>
      </c>
    </row>
    <row r="14" spans="1:10" ht="23.25">
      <c r="A14" s="1" t="s">
        <v>309</v>
      </c>
      <c r="B14" s="47"/>
      <c r="C14" s="6">
        <f t="shared" si="3"/>
        <v>0</v>
      </c>
      <c r="D14" s="5">
        <f t="shared" si="3"/>
        <v>0</v>
      </c>
      <c r="E14" s="6">
        <f t="shared" si="3"/>
        <v>0</v>
      </c>
      <c r="G14" s="5">
        <v>0</v>
      </c>
      <c r="H14" s="6">
        <v>0</v>
      </c>
      <c r="I14" s="5">
        <v>0</v>
      </c>
      <c r="J14" s="6">
        <v>0</v>
      </c>
    </row>
    <row r="15" spans="2:10" ht="24" thickBot="1">
      <c r="B15" s="47"/>
      <c r="C15" s="4">
        <f>SUM(C6:C14)</f>
        <v>814.89</v>
      </c>
      <c r="D15" s="4">
        <f>SUM(D6:D14)</f>
        <v>3173.41</v>
      </c>
      <c r="E15" s="7">
        <f>SUM(E6:E14)</f>
        <v>1551731.9</v>
      </c>
      <c r="F15" s="59"/>
      <c r="G15" s="4">
        <f>SUM(G6:G14)</f>
        <v>1554090.42</v>
      </c>
      <c r="H15" s="4">
        <f>SUM(H6:H14)</f>
        <v>814.89</v>
      </c>
      <c r="I15" s="4">
        <f>SUM(I6:I14)</f>
        <v>3173.41</v>
      </c>
      <c r="J15" s="7">
        <f>SUM(G15+H15-I15)</f>
        <v>1551731.9</v>
      </c>
    </row>
    <row r="16" ht="24" thickTop="1"/>
    <row r="19" spans="1:4" ht="23.25">
      <c r="A19" s="244" t="s">
        <v>319</v>
      </c>
      <c r="B19" s="244"/>
      <c r="C19" s="244"/>
      <c r="D19" s="244"/>
    </row>
    <row r="20" spans="1:4" ht="23.25">
      <c r="A20" s="244" t="s">
        <v>320</v>
      </c>
      <c r="B20" s="244"/>
      <c r="C20" s="244"/>
      <c r="D20" s="244"/>
    </row>
    <row r="21" spans="1:4" ht="23.25">
      <c r="A21" s="244" t="s">
        <v>324</v>
      </c>
      <c r="B21" s="244"/>
      <c r="C21" s="244"/>
      <c r="D21" s="244"/>
    </row>
    <row r="22" spans="1:5" ht="23.25">
      <c r="A22" s="2" t="s">
        <v>193</v>
      </c>
      <c r="B22" s="237" t="s">
        <v>193</v>
      </c>
      <c r="C22" s="237"/>
      <c r="D22" s="237"/>
      <c r="E22" s="237"/>
    </row>
    <row r="23" ht="23.25">
      <c r="A23" s="2"/>
    </row>
    <row r="24" ht="23.25">
      <c r="A24" s="2"/>
    </row>
    <row r="25" spans="1:5" ht="23.25">
      <c r="A25" s="2" t="s">
        <v>203</v>
      </c>
      <c r="B25" s="237" t="s">
        <v>315</v>
      </c>
      <c r="C25" s="237"/>
      <c r="D25" s="237"/>
      <c r="E25" s="237"/>
    </row>
    <row r="26" spans="1:5" ht="23.25">
      <c r="A26" s="2" t="s">
        <v>376</v>
      </c>
      <c r="B26" s="237" t="s">
        <v>377</v>
      </c>
      <c r="C26" s="237"/>
      <c r="D26" s="237"/>
      <c r="E26" s="237"/>
    </row>
    <row r="27" spans="2:5" ht="23.25">
      <c r="B27" s="237"/>
      <c r="C27" s="237"/>
      <c r="D27" s="237"/>
      <c r="E27" s="237"/>
    </row>
    <row r="28" spans="1:3" ht="23.25">
      <c r="A28" s="244" t="s">
        <v>316</v>
      </c>
      <c r="B28" s="244"/>
      <c r="C28" s="244"/>
    </row>
    <row r="31" spans="1:4" ht="23.25">
      <c r="A31" s="244" t="s">
        <v>317</v>
      </c>
      <c r="B31" s="244"/>
      <c r="C31" s="244"/>
      <c r="D31" s="244"/>
    </row>
    <row r="32" spans="1:4" ht="23.25">
      <c r="A32" s="244" t="s">
        <v>318</v>
      </c>
      <c r="B32" s="244"/>
      <c r="C32" s="244"/>
      <c r="D32" s="244"/>
    </row>
    <row r="33" spans="1:5" ht="23.25">
      <c r="A33" s="243"/>
      <c r="B33" s="243"/>
      <c r="C33" s="243"/>
      <c r="D33" s="243"/>
      <c r="E33" s="243"/>
    </row>
    <row r="34" spans="1:5" ht="23.25">
      <c r="A34" s="243"/>
      <c r="B34" s="243"/>
      <c r="C34" s="243"/>
      <c r="D34" s="243"/>
      <c r="E34" s="243"/>
    </row>
    <row r="35" spans="1:5" ht="23.25">
      <c r="A35" s="241"/>
      <c r="B35" s="242"/>
      <c r="C35" s="242"/>
      <c r="D35" s="242"/>
      <c r="E35" s="33"/>
    </row>
    <row r="36" spans="1:5" ht="23.25">
      <c r="A36" s="241"/>
      <c r="B36" s="242"/>
      <c r="C36" s="242"/>
      <c r="D36" s="242"/>
      <c r="E36" s="33"/>
    </row>
    <row r="37" spans="1:5" ht="23.25">
      <c r="A37" s="91"/>
      <c r="B37" s="92"/>
      <c r="C37" s="92"/>
      <c r="D37" s="92"/>
      <c r="E37" s="33"/>
    </row>
    <row r="38" spans="1:5" ht="23.25">
      <c r="A38" s="46"/>
      <c r="B38" s="46"/>
      <c r="C38" s="46"/>
      <c r="D38" s="46"/>
      <c r="E38" s="46"/>
    </row>
    <row r="39" spans="1:5" ht="23.25">
      <c r="A39" s="33"/>
      <c r="B39" s="47"/>
      <c r="C39" s="93"/>
      <c r="D39" s="47"/>
      <c r="E39" s="93"/>
    </row>
    <row r="40" spans="1:5" ht="23.25">
      <c r="A40" s="33"/>
      <c r="B40" s="47"/>
      <c r="C40" s="93"/>
      <c r="D40" s="47"/>
      <c r="E40" s="93"/>
    </row>
    <row r="41" spans="1:5" ht="23.25">
      <c r="A41" s="33"/>
      <c r="B41" s="47"/>
      <c r="C41" s="93"/>
      <c r="D41" s="47"/>
      <c r="E41" s="93"/>
    </row>
    <row r="42" spans="1:5" ht="23.25">
      <c r="A42" s="33"/>
      <c r="B42" s="47"/>
      <c r="C42" s="93"/>
      <c r="D42" s="47"/>
      <c r="E42" s="93"/>
    </row>
    <row r="43" spans="1:5" ht="23.25">
      <c r="A43" s="33"/>
      <c r="B43" s="47"/>
      <c r="C43" s="93"/>
      <c r="D43" s="47"/>
      <c r="E43" s="93"/>
    </row>
    <row r="44" spans="1:5" ht="23.25">
      <c r="A44" s="33"/>
      <c r="B44" s="47"/>
      <c r="C44" s="93"/>
      <c r="D44" s="47"/>
      <c r="E44" s="93"/>
    </row>
    <row r="45" spans="1:5" ht="23.25">
      <c r="A45" s="33"/>
      <c r="B45" s="47"/>
      <c r="C45" s="93"/>
      <c r="D45" s="47"/>
      <c r="E45" s="93"/>
    </row>
    <row r="46" spans="1:5" ht="23.25">
      <c r="A46" s="33"/>
      <c r="B46" s="47"/>
      <c r="C46" s="47"/>
      <c r="D46" s="47"/>
      <c r="E46" s="93"/>
    </row>
    <row r="47" spans="1:5" ht="23.25">
      <c r="A47" s="33"/>
      <c r="B47" s="33"/>
      <c r="C47" s="33"/>
      <c r="D47" s="33"/>
      <c r="E47" s="33"/>
    </row>
    <row r="48" spans="1:5" ht="23.25">
      <c r="A48" s="33"/>
      <c r="B48" s="33"/>
      <c r="C48" s="33"/>
      <c r="D48" s="33"/>
      <c r="E48" s="33"/>
    </row>
    <row r="49" spans="1:5" ht="23.25">
      <c r="A49" s="33"/>
      <c r="B49" s="33"/>
      <c r="C49" s="33"/>
      <c r="D49" s="33"/>
      <c r="E49" s="33"/>
    </row>
    <row r="50" spans="1:5" ht="23.25">
      <c r="A50" s="33"/>
      <c r="B50" s="33"/>
      <c r="C50" s="33"/>
      <c r="D50" s="33"/>
      <c r="E50" s="33"/>
    </row>
    <row r="51" spans="1:5" ht="23.25">
      <c r="A51" s="33"/>
      <c r="B51" s="33"/>
      <c r="C51" s="33"/>
      <c r="D51" s="33"/>
      <c r="E51" s="33"/>
    </row>
    <row r="52" spans="1:5" ht="23.25">
      <c r="A52" s="33"/>
      <c r="B52" s="33"/>
      <c r="C52" s="33"/>
      <c r="D52" s="33"/>
      <c r="E52" s="33"/>
    </row>
    <row r="53" spans="1:5" ht="23.25">
      <c r="A53" s="33"/>
      <c r="B53" s="33"/>
      <c r="C53" s="33"/>
      <c r="D53" s="33"/>
      <c r="E53" s="33"/>
    </row>
    <row r="54" spans="1:5" ht="23.25">
      <c r="A54" s="33"/>
      <c r="B54" s="33"/>
      <c r="C54" s="33"/>
      <c r="D54" s="33"/>
      <c r="E54" s="33"/>
    </row>
    <row r="55" spans="1:5" ht="23.25">
      <c r="A55" s="33"/>
      <c r="B55" s="33"/>
      <c r="C55" s="33"/>
      <c r="D55" s="33"/>
      <c r="E55" s="33"/>
    </row>
    <row r="56" spans="1:5" ht="23.25">
      <c r="A56" s="33"/>
      <c r="B56" s="33"/>
      <c r="C56" s="33"/>
      <c r="D56" s="33"/>
      <c r="E56" s="33"/>
    </row>
    <row r="57" spans="1:5" ht="23.25">
      <c r="A57" s="33"/>
      <c r="B57" s="33"/>
      <c r="C57" s="33"/>
      <c r="D57" s="33"/>
      <c r="E57" s="33"/>
    </row>
    <row r="58" spans="1:5" ht="23.25">
      <c r="A58" s="33"/>
      <c r="B58" s="33"/>
      <c r="C58" s="33"/>
      <c r="D58" s="33"/>
      <c r="E58" s="33"/>
    </row>
    <row r="59" spans="1:5" ht="23.25">
      <c r="A59" s="33"/>
      <c r="B59" s="33"/>
      <c r="C59" s="33"/>
      <c r="D59" s="33"/>
      <c r="E59" s="33"/>
    </row>
    <row r="60" spans="1:5" ht="23.25">
      <c r="A60" s="33"/>
      <c r="B60" s="33"/>
      <c r="C60" s="33"/>
      <c r="D60" s="33"/>
      <c r="E60" s="33"/>
    </row>
    <row r="61" spans="1:5" ht="23.25">
      <c r="A61" s="33"/>
      <c r="B61" s="33"/>
      <c r="C61" s="33"/>
      <c r="D61" s="33"/>
      <c r="E61" s="33"/>
    </row>
    <row r="62" spans="1:5" ht="23.25">
      <c r="A62" s="33"/>
      <c r="B62" s="33"/>
      <c r="C62" s="33"/>
      <c r="D62" s="33"/>
      <c r="E62" s="33"/>
    </row>
    <row r="63" spans="1:5" ht="23.25">
      <c r="A63" s="33"/>
      <c r="B63" s="33"/>
      <c r="C63" s="33"/>
      <c r="D63" s="33"/>
      <c r="E63" s="33"/>
    </row>
    <row r="64" spans="1:5" ht="23.25">
      <c r="A64" s="33"/>
      <c r="B64" s="33"/>
      <c r="C64" s="33"/>
      <c r="D64" s="33"/>
      <c r="E64" s="33"/>
    </row>
    <row r="65" spans="1:5" ht="23.25">
      <c r="A65" s="33"/>
      <c r="B65" s="33"/>
      <c r="C65" s="33"/>
      <c r="D65" s="33"/>
      <c r="E65" s="33"/>
    </row>
    <row r="66" spans="1:5" ht="23.25">
      <c r="A66" s="33"/>
      <c r="B66" s="33"/>
      <c r="C66" s="33"/>
      <c r="D66" s="33"/>
      <c r="E66" s="33"/>
    </row>
    <row r="67" spans="1:5" ht="23.25">
      <c r="A67" s="33"/>
      <c r="B67" s="33"/>
      <c r="C67" s="33"/>
      <c r="D67" s="33"/>
      <c r="E67" s="33"/>
    </row>
    <row r="68" spans="1:5" ht="23.25">
      <c r="A68" s="33"/>
      <c r="B68" s="33"/>
      <c r="C68" s="33"/>
      <c r="D68" s="33"/>
      <c r="E68" s="33"/>
    </row>
    <row r="69" spans="1:5" ht="23.25">
      <c r="A69" s="33"/>
      <c r="B69" s="33"/>
      <c r="C69" s="33"/>
      <c r="D69" s="33"/>
      <c r="E69" s="33"/>
    </row>
    <row r="70" spans="1:5" ht="23.25">
      <c r="A70" s="33"/>
      <c r="B70" s="33"/>
      <c r="C70" s="33"/>
      <c r="D70" s="33"/>
      <c r="E70" s="33"/>
    </row>
    <row r="71" spans="1:5" ht="23.25">
      <c r="A71" s="33"/>
      <c r="B71" s="33"/>
      <c r="C71" s="33"/>
      <c r="D71" s="33"/>
      <c r="E71" s="33"/>
    </row>
    <row r="72" spans="1:5" ht="23.25">
      <c r="A72" s="33"/>
      <c r="B72" s="33"/>
      <c r="C72" s="33"/>
      <c r="D72" s="33"/>
      <c r="E72" s="33"/>
    </row>
    <row r="73" spans="1:5" ht="23.25">
      <c r="A73" s="33"/>
      <c r="B73" s="33"/>
      <c r="C73" s="33"/>
      <c r="D73" s="33"/>
      <c r="E73" s="33"/>
    </row>
    <row r="74" spans="1:5" ht="23.25">
      <c r="A74" s="33"/>
      <c r="B74" s="33"/>
      <c r="C74" s="33"/>
      <c r="D74" s="33"/>
      <c r="E74" s="33"/>
    </row>
    <row r="75" spans="1:5" ht="23.25">
      <c r="A75" s="33"/>
      <c r="B75" s="33"/>
      <c r="C75" s="33"/>
      <c r="D75" s="33"/>
      <c r="E75" s="33"/>
    </row>
    <row r="76" spans="1:5" ht="23.25">
      <c r="A76" s="33"/>
      <c r="B76" s="33"/>
      <c r="C76" s="33"/>
      <c r="D76" s="33"/>
      <c r="E76" s="33"/>
    </row>
    <row r="77" spans="1:5" ht="23.25">
      <c r="A77" s="33"/>
      <c r="B77" s="33"/>
      <c r="C77" s="33"/>
      <c r="D77" s="33"/>
      <c r="E77" s="33"/>
    </row>
    <row r="78" spans="1:5" ht="23.25">
      <c r="A78" s="33"/>
      <c r="B78" s="33"/>
      <c r="C78" s="33"/>
      <c r="D78" s="33"/>
      <c r="E78" s="33"/>
    </row>
    <row r="79" spans="1:5" ht="23.25">
      <c r="A79" s="33"/>
      <c r="B79" s="33"/>
      <c r="C79" s="33"/>
      <c r="D79" s="33"/>
      <c r="E79" s="33"/>
    </row>
    <row r="80" spans="1:5" ht="23.25">
      <c r="A80" s="33"/>
      <c r="B80" s="33"/>
      <c r="C80" s="33"/>
      <c r="D80" s="33"/>
      <c r="E80" s="33"/>
    </row>
  </sheetData>
  <sheetProtection/>
  <mergeCells count="18">
    <mergeCell ref="A1:E1"/>
    <mergeCell ref="A2:E2"/>
    <mergeCell ref="A3:D3"/>
    <mergeCell ref="A4:D4"/>
    <mergeCell ref="A32:D32"/>
    <mergeCell ref="A19:D19"/>
    <mergeCell ref="A20:D20"/>
    <mergeCell ref="A21:D21"/>
    <mergeCell ref="A36:D36"/>
    <mergeCell ref="B22:E22"/>
    <mergeCell ref="B25:E25"/>
    <mergeCell ref="B26:E26"/>
    <mergeCell ref="B27:E27"/>
    <mergeCell ref="A33:E33"/>
    <mergeCell ref="A34:E34"/>
    <mergeCell ref="A35:D35"/>
    <mergeCell ref="A28:C28"/>
    <mergeCell ref="A31:D3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9"/>
  <sheetViews>
    <sheetView zoomScalePageLayoutView="0" workbookViewId="0" topLeftCell="A1">
      <selection activeCell="B19" sqref="B19:G29"/>
    </sheetView>
  </sheetViews>
  <sheetFormatPr defaultColWidth="9.140625" defaultRowHeight="12.75"/>
  <cols>
    <col min="1" max="1" width="9.140625" style="13" customWidth="1"/>
    <col min="2" max="2" width="44.28125" style="13" customWidth="1"/>
    <col min="3" max="4" width="12.7109375" style="13" customWidth="1"/>
    <col min="5" max="5" width="11.28125" style="13" customWidth="1"/>
    <col min="6" max="6" width="12.7109375" style="13" customWidth="1"/>
    <col min="7" max="7" width="8.8515625" style="13" customWidth="1"/>
    <col min="8" max="16384" width="9.140625" style="13" customWidth="1"/>
  </cols>
  <sheetData>
    <row r="1" spans="2:7" ht="16.5">
      <c r="B1" s="235" t="s">
        <v>108</v>
      </c>
      <c r="C1" s="235"/>
      <c r="D1" s="235"/>
      <c r="E1" s="235"/>
      <c r="F1" s="235"/>
      <c r="G1" s="235"/>
    </row>
    <row r="2" spans="2:7" ht="16.5">
      <c r="B2" s="235" t="s">
        <v>205</v>
      </c>
      <c r="C2" s="235"/>
      <c r="D2" s="235"/>
      <c r="E2" s="235"/>
      <c r="F2" s="235"/>
      <c r="G2" s="235"/>
    </row>
    <row r="3" spans="2:7" ht="16.5">
      <c r="B3" s="235"/>
      <c r="C3" s="235"/>
      <c r="D3" s="235"/>
      <c r="E3" s="235"/>
      <c r="F3" s="235"/>
      <c r="G3" s="235"/>
    </row>
    <row r="4" spans="2:7" ht="16.5">
      <c r="B4" s="236" t="s">
        <v>373</v>
      </c>
      <c r="C4" s="236"/>
      <c r="D4" s="236"/>
      <c r="E4" s="236"/>
      <c r="F4" s="236"/>
      <c r="G4" s="236"/>
    </row>
    <row r="5" spans="2:7" ht="16.5">
      <c r="B5" s="28"/>
      <c r="C5" s="229"/>
      <c r="D5" s="229"/>
      <c r="E5" s="28"/>
      <c r="F5" s="28"/>
      <c r="G5" s="28"/>
    </row>
    <row r="6" spans="2:7" ht="16.5">
      <c r="B6" s="231" t="s">
        <v>85</v>
      </c>
      <c r="C6" s="233" t="s">
        <v>155</v>
      </c>
      <c r="D6" s="234"/>
      <c r="E6" s="231" t="s">
        <v>350</v>
      </c>
      <c r="F6" s="231" t="s">
        <v>7</v>
      </c>
      <c r="G6" s="231" t="s">
        <v>156</v>
      </c>
    </row>
    <row r="7" spans="2:7" ht="16.5">
      <c r="B7" s="232"/>
      <c r="C7" s="17" t="s">
        <v>351</v>
      </c>
      <c r="D7" s="17" t="s">
        <v>352</v>
      </c>
      <c r="E7" s="232"/>
      <c r="F7" s="232"/>
      <c r="G7" s="232"/>
    </row>
    <row r="8" spans="2:7" ht="16.5">
      <c r="B8" s="18" t="s">
        <v>353</v>
      </c>
      <c r="C8" s="211">
        <v>5340</v>
      </c>
      <c r="D8" s="19">
        <v>0</v>
      </c>
      <c r="E8" s="20">
        <v>5340</v>
      </c>
      <c r="F8" s="22">
        <f aca="true" t="shared" si="0" ref="F8:F14">SUM(C8+D8-E8)</f>
        <v>0</v>
      </c>
      <c r="G8" s="212"/>
    </row>
    <row r="9" spans="2:7" ht="16.5">
      <c r="B9" s="21" t="s">
        <v>354</v>
      </c>
      <c r="C9" s="213">
        <v>289268.22</v>
      </c>
      <c r="D9" s="214">
        <v>0</v>
      </c>
      <c r="E9" s="215">
        <v>289268.22</v>
      </c>
      <c r="F9" s="22">
        <f t="shared" si="0"/>
        <v>0</v>
      </c>
      <c r="G9" s="216"/>
    </row>
    <row r="10" spans="2:7" ht="16.5">
      <c r="B10" s="21" t="s">
        <v>355</v>
      </c>
      <c r="C10" s="213">
        <v>6000</v>
      </c>
      <c r="D10" s="22">
        <v>0</v>
      </c>
      <c r="E10" s="23">
        <v>6000</v>
      </c>
      <c r="F10" s="22">
        <f t="shared" si="0"/>
        <v>0</v>
      </c>
      <c r="G10" s="216"/>
    </row>
    <row r="11" spans="2:7" ht="16.5">
      <c r="B11" s="21" t="s">
        <v>356</v>
      </c>
      <c r="C11" s="213">
        <v>64000</v>
      </c>
      <c r="D11" s="213">
        <v>0</v>
      </c>
      <c r="E11" s="23">
        <v>64000</v>
      </c>
      <c r="F11" s="22">
        <f t="shared" si="0"/>
        <v>0</v>
      </c>
      <c r="G11" s="216"/>
    </row>
    <row r="12" spans="2:7" ht="16.5">
      <c r="B12" s="21" t="s">
        <v>357</v>
      </c>
      <c r="C12" s="213">
        <v>1800</v>
      </c>
      <c r="D12" s="213">
        <v>0</v>
      </c>
      <c r="E12" s="23">
        <v>1800</v>
      </c>
      <c r="F12" s="22">
        <f t="shared" si="0"/>
        <v>0</v>
      </c>
      <c r="G12" s="216"/>
    </row>
    <row r="13" spans="2:7" ht="16.5">
      <c r="B13" s="21" t="s">
        <v>358</v>
      </c>
      <c r="C13" s="213">
        <v>0</v>
      </c>
      <c r="D13" s="213">
        <f>SUM(26000+27000+13000)</f>
        <v>66000</v>
      </c>
      <c r="E13" s="23">
        <v>0</v>
      </c>
      <c r="F13" s="22">
        <f t="shared" si="0"/>
        <v>66000</v>
      </c>
      <c r="G13" s="216"/>
    </row>
    <row r="14" spans="2:7" ht="16.5">
      <c r="B14" s="21" t="s">
        <v>359</v>
      </c>
      <c r="C14" s="213">
        <v>0</v>
      </c>
      <c r="D14" s="213">
        <v>27000</v>
      </c>
      <c r="E14" s="23">
        <v>0</v>
      </c>
      <c r="F14" s="22">
        <f t="shared" si="0"/>
        <v>27000</v>
      </c>
      <c r="G14" s="216"/>
    </row>
    <row r="15" spans="2:7" ht="16.5">
      <c r="B15" s="21" t="s">
        <v>360</v>
      </c>
      <c r="C15" s="213">
        <v>0</v>
      </c>
      <c r="D15" s="213">
        <f>SUM(27000+13000)</f>
        <v>40000</v>
      </c>
      <c r="E15" s="23">
        <v>0</v>
      </c>
      <c r="F15" s="22">
        <f>SUM(C15+D15-E15)</f>
        <v>40000</v>
      </c>
      <c r="G15" s="216"/>
    </row>
    <row r="16" spans="2:7" ht="16.5">
      <c r="B16" s="21" t="s">
        <v>361</v>
      </c>
      <c r="C16" s="213">
        <v>0</v>
      </c>
      <c r="D16" s="213">
        <f>SUM(19000+13000)</f>
        <v>32000</v>
      </c>
      <c r="E16" s="23">
        <v>0</v>
      </c>
      <c r="F16" s="22">
        <f>SUM(C16+D16-E16)</f>
        <v>32000</v>
      </c>
      <c r="G16" s="216"/>
    </row>
    <row r="17" spans="2:7" ht="16.5">
      <c r="B17" s="61" t="s">
        <v>362</v>
      </c>
      <c r="C17" s="24">
        <v>0</v>
      </c>
      <c r="D17" s="213">
        <v>1021740</v>
      </c>
      <c r="E17" s="23">
        <v>0</v>
      </c>
      <c r="F17" s="22">
        <f>SUM(C17+D17-E17)</f>
        <v>1021740</v>
      </c>
      <c r="G17" s="216"/>
    </row>
    <row r="18" spans="2:7" ht="17.25" thickBot="1">
      <c r="B18" s="210" t="s">
        <v>154</v>
      </c>
      <c r="C18" s="26">
        <f>SUM(C8:C17)</f>
        <v>366408.22</v>
      </c>
      <c r="D18" s="26">
        <f>SUM(D8:D17)</f>
        <v>1186740</v>
      </c>
      <c r="E18" s="26">
        <f>SUM(E8:E17)</f>
        <v>366408.22</v>
      </c>
      <c r="F18" s="217">
        <f>SUM(F8:F17)</f>
        <v>1186740</v>
      </c>
      <c r="G18" s="218"/>
    </row>
    <row r="19" spans="2:3" s="10" customFormat="1" ht="21.75" thickTop="1">
      <c r="B19" s="219"/>
      <c r="C19" s="60"/>
    </row>
    <row r="20" spans="2:3" s="1" customFormat="1" ht="14.25" customHeight="1">
      <c r="B20" s="208"/>
      <c r="C20" s="90"/>
    </row>
    <row r="21" s="10" customFormat="1" ht="21"/>
    <row r="22" s="10" customFormat="1" ht="21"/>
    <row r="23" s="10" customFormat="1" ht="21"/>
    <row r="24" s="10" customFormat="1" ht="21"/>
    <row r="25" spans="2:7" s="208" customFormat="1" ht="23.25">
      <c r="B25" s="230"/>
      <c r="C25" s="230"/>
      <c r="D25" s="230"/>
      <c r="E25" s="230"/>
      <c r="F25" s="220"/>
      <c r="G25" s="220"/>
    </row>
    <row r="26" spans="2:7" s="208" customFormat="1" ht="12" customHeight="1">
      <c r="B26" s="131"/>
      <c r="C26" s="131"/>
      <c r="D26" s="131"/>
      <c r="E26" s="131"/>
      <c r="F26" s="220"/>
      <c r="G26" s="220"/>
    </row>
    <row r="27" spans="2:7" s="10" customFormat="1" ht="21">
      <c r="B27" s="230"/>
      <c r="C27" s="230"/>
      <c r="D27" s="230"/>
      <c r="E27" s="230"/>
      <c r="F27" s="220"/>
      <c r="G27" s="220"/>
    </row>
    <row r="28" spans="2:7" s="10" customFormat="1" ht="21">
      <c r="B28" s="230"/>
      <c r="C28" s="230"/>
      <c r="D28" s="230"/>
      <c r="E28" s="230"/>
      <c r="F28" s="220"/>
      <c r="G28" s="220"/>
    </row>
    <row r="29" spans="2:7" s="10" customFormat="1" ht="21">
      <c r="B29" s="230"/>
      <c r="C29" s="230"/>
      <c r="D29" s="230"/>
      <c r="E29" s="230"/>
      <c r="F29" s="220"/>
      <c r="G29" s="220"/>
    </row>
  </sheetData>
  <sheetProtection/>
  <mergeCells count="13">
    <mergeCell ref="B29:E29"/>
    <mergeCell ref="B1:G1"/>
    <mergeCell ref="B3:G3"/>
    <mergeCell ref="B4:G4"/>
    <mergeCell ref="B25:E25"/>
    <mergeCell ref="B27:E27"/>
    <mergeCell ref="B28:E28"/>
    <mergeCell ref="G6:G7"/>
    <mergeCell ref="B6:B7"/>
    <mergeCell ref="C6:D6"/>
    <mergeCell ref="E6:E7"/>
    <mergeCell ref="F6:F7"/>
    <mergeCell ref="B2:G2"/>
  </mergeCells>
  <printOptions/>
  <pageMargins left="0.7" right="0.7" top="0.75" bottom="0.5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6">
      <selection activeCell="C19" sqref="C19:F19"/>
    </sheetView>
  </sheetViews>
  <sheetFormatPr defaultColWidth="9.140625" defaultRowHeight="12.75"/>
  <cols>
    <col min="1" max="1" width="9.140625" style="8" customWidth="1"/>
    <col min="2" max="2" width="44.00390625" style="8" customWidth="1"/>
    <col min="3" max="3" width="11.7109375" style="8" customWidth="1"/>
    <col min="4" max="4" width="12.28125" style="8" customWidth="1"/>
    <col min="5" max="5" width="11.28125" style="8" customWidth="1"/>
    <col min="6" max="6" width="10.421875" style="8" customWidth="1"/>
    <col min="7" max="7" width="8.421875" style="8" customWidth="1"/>
    <col min="8" max="16384" width="9.140625" style="8" customWidth="1"/>
  </cols>
  <sheetData>
    <row r="1" spans="2:7" ht="18">
      <c r="B1" s="261" t="s">
        <v>108</v>
      </c>
      <c r="C1" s="261"/>
      <c r="D1" s="261"/>
      <c r="E1" s="261"/>
      <c r="F1" s="261"/>
      <c r="G1" s="261"/>
    </row>
    <row r="2" spans="2:7" ht="18">
      <c r="B2" s="235" t="s">
        <v>205</v>
      </c>
      <c r="C2" s="235"/>
      <c r="D2" s="235"/>
      <c r="E2" s="235"/>
      <c r="F2" s="235"/>
      <c r="G2" s="235"/>
    </row>
    <row r="3" spans="2:7" ht="18">
      <c r="B3" s="14"/>
      <c r="C3" s="14"/>
      <c r="D3" s="14"/>
      <c r="E3" s="14"/>
      <c r="F3" s="14"/>
      <c r="G3" s="14"/>
    </row>
    <row r="4" spans="2:7" ht="18">
      <c r="B4" s="209" t="s">
        <v>374</v>
      </c>
      <c r="C4" s="14"/>
      <c r="D4" s="14"/>
      <c r="E4" s="14"/>
      <c r="F4" s="14"/>
      <c r="G4" s="14"/>
    </row>
    <row r="5" spans="2:7" ht="18">
      <c r="B5" s="261"/>
      <c r="C5" s="261"/>
      <c r="D5" s="261"/>
      <c r="E5" s="261"/>
      <c r="F5" s="261"/>
      <c r="G5" s="261"/>
    </row>
    <row r="6" spans="2:7" ht="18">
      <c r="B6" s="263" t="s">
        <v>85</v>
      </c>
      <c r="C6" s="265" t="s">
        <v>155</v>
      </c>
      <c r="D6" s="266"/>
      <c r="E6" s="263" t="s">
        <v>350</v>
      </c>
      <c r="F6" s="263" t="s">
        <v>7</v>
      </c>
      <c r="G6" s="263" t="s">
        <v>156</v>
      </c>
    </row>
    <row r="7" spans="2:7" ht="18">
      <c r="B7" s="264"/>
      <c r="C7" s="64" t="s">
        <v>351</v>
      </c>
      <c r="D7" s="64" t="s">
        <v>352</v>
      </c>
      <c r="E7" s="264"/>
      <c r="F7" s="264"/>
      <c r="G7" s="264"/>
    </row>
    <row r="8" spans="2:7" ht="18">
      <c r="B8" s="221" t="s">
        <v>363</v>
      </c>
      <c r="C8" s="27">
        <v>229500</v>
      </c>
      <c r="D8" s="81">
        <v>0</v>
      </c>
      <c r="E8" s="27">
        <v>0</v>
      </c>
      <c r="F8" s="81">
        <f aca="true" t="shared" si="0" ref="F8:F17">SUM(C8+D8-E8)</f>
        <v>229500</v>
      </c>
      <c r="G8" s="222"/>
    </row>
    <row r="9" spans="2:7" ht="18">
      <c r="B9" s="221" t="s">
        <v>364</v>
      </c>
      <c r="C9" s="27">
        <v>18810</v>
      </c>
      <c r="D9" s="81"/>
      <c r="E9" s="27"/>
      <c r="F9" s="81">
        <f>SUM(C9:E9)</f>
        <v>18810</v>
      </c>
      <c r="G9" s="222"/>
    </row>
    <row r="10" spans="2:7" ht="18">
      <c r="B10" s="221" t="s">
        <v>365</v>
      </c>
      <c r="C10" s="27">
        <v>188300</v>
      </c>
      <c r="D10" s="81">
        <v>0</v>
      </c>
      <c r="E10" s="27">
        <v>0</v>
      </c>
      <c r="F10" s="81">
        <f t="shared" si="0"/>
        <v>188300</v>
      </c>
      <c r="G10" s="222"/>
    </row>
    <row r="11" spans="2:7" ht="18">
      <c r="B11" s="221" t="s">
        <v>366</v>
      </c>
      <c r="C11" s="27">
        <v>19590</v>
      </c>
      <c r="D11" s="81">
        <v>0</v>
      </c>
      <c r="E11" s="27">
        <v>0</v>
      </c>
      <c r="F11" s="81">
        <f t="shared" si="0"/>
        <v>19590</v>
      </c>
      <c r="G11" s="222"/>
    </row>
    <row r="12" spans="2:7" ht="18">
      <c r="B12" s="221" t="s">
        <v>367</v>
      </c>
      <c r="C12" s="27">
        <v>93600</v>
      </c>
      <c r="D12" s="81">
        <v>0</v>
      </c>
      <c r="E12" s="27">
        <v>0</v>
      </c>
      <c r="F12" s="81">
        <f t="shared" si="0"/>
        <v>93600</v>
      </c>
      <c r="G12" s="222"/>
    </row>
    <row r="13" spans="2:7" ht="18">
      <c r="B13" s="221" t="s">
        <v>368</v>
      </c>
      <c r="C13" s="27">
        <v>42900</v>
      </c>
      <c r="D13" s="81">
        <v>0</v>
      </c>
      <c r="E13" s="27">
        <v>0</v>
      </c>
      <c r="F13" s="81">
        <f t="shared" si="0"/>
        <v>42900</v>
      </c>
      <c r="G13" s="222"/>
    </row>
    <row r="14" spans="2:7" ht="18">
      <c r="B14" s="221" t="s">
        <v>369</v>
      </c>
      <c r="C14" s="27">
        <v>47010</v>
      </c>
      <c r="D14" s="81">
        <v>0</v>
      </c>
      <c r="E14" s="27">
        <v>0</v>
      </c>
      <c r="F14" s="81">
        <f t="shared" si="0"/>
        <v>47010</v>
      </c>
      <c r="G14" s="222"/>
    </row>
    <row r="15" spans="2:7" ht="18">
      <c r="B15" s="221" t="s">
        <v>370</v>
      </c>
      <c r="C15" s="27">
        <v>35760</v>
      </c>
      <c r="D15" s="81">
        <v>0</v>
      </c>
      <c r="E15" s="27">
        <v>0</v>
      </c>
      <c r="F15" s="81">
        <f t="shared" si="0"/>
        <v>35760</v>
      </c>
      <c r="G15" s="222"/>
    </row>
    <row r="16" spans="2:7" ht="18">
      <c r="B16" s="221" t="s">
        <v>371</v>
      </c>
      <c r="C16" s="27">
        <v>19590</v>
      </c>
      <c r="D16" s="81">
        <v>0</v>
      </c>
      <c r="E16" s="27">
        <v>0</v>
      </c>
      <c r="F16" s="81">
        <f t="shared" si="0"/>
        <v>19590</v>
      </c>
      <c r="G16" s="222"/>
    </row>
    <row r="17" spans="2:7" ht="18">
      <c r="B17" s="223" t="s">
        <v>372</v>
      </c>
      <c r="C17" s="187">
        <v>41730</v>
      </c>
      <c r="D17" s="85">
        <v>0</v>
      </c>
      <c r="E17" s="187">
        <v>0</v>
      </c>
      <c r="F17" s="85">
        <f t="shared" si="0"/>
        <v>41730</v>
      </c>
      <c r="G17" s="224"/>
    </row>
    <row r="18" spans="2:7" ht="18.75" thickBot="1">
      <c r="B18" s="225" t="s">
        <v>154</v>
      </c>
      <c r="C18" s="226">
        <f>SUM(C8:C17)</f>
        <v>736790</v>
      </c>
      <c r="D18" s="226">
        <f>SUM(D8:D17)</f>
        <v>0</v>
      </c>
      <c r="E18" s="226">
        <f>SUM(E8:E17)</f>
        <v>0</v>
      </c>
      <c r="F18" s="207">
        <f>SUM(F8:F17)</f>
        <v>736790</v>
      </c>
      <c r="G18" s="227"/>
    </row>
    <row r="19" spans="3:6" ht="18.75" thickTop="1">
      <c r="C19" s="261"/>
      <c r="D19" s="261"/>
      <c r="E19" s="261"/>
      <c r="F19" s="261"/>
    </row>
    <row r="20" spans="3:6" ht="18">
      <c r="C20" s="62"/>
      <c r="D20" s="62"/>
      <c r="E20" s="62"/>
      <c r="F20" s="62"/>
    </row>
    <row r="22" spans="2:7" ht="18">
      <c r="B22" s="62"/>
      <c r="C22" s="261"/>
      <c r="D22" s="261"/>
      <c r="E22" s="261"/>
      <c r="F22" s="261"/>
      <c r="G22" s="261"/>
    </row>
    <row r="23" spans="2:7" ht="18">
      <c r="B23" s="62"/>
      <c r="C23" s="261"/>
      <c r="D23" s="261"/>
      <c r="E23" s="261"/>
      <c r="F23" s="261"/>
      <c r="G23" s="261"/>
    </row>
    <row r="24" spans="2:7" ht="18">
      <c r="B24" s="62"/>
      <c r="C24" s="261"/>
      <c r="D24" s="261"/>
      <c r="E24" s="261"/>
      <c r="F24" s="261"/>
      <c r="G24" s="261"/>
    </row>
    <row r="26" spans="3:5" ht="18">
      <c r="C26" s="262"/>
      <c r="D26" s="262"/>
      <c r="E26" s="262"/>
    </row>
    <row r="27" spans="3:5" ht="18">
      <c r="C27" s="206"/>
      <c r="D27" s="206"/>
      <c r="E27" s="206"/>
    </row>
    <row r="28" spans="3:5" ht="18">
      <c r="C28" s="228"/>
      <c r="D28" s="228"/>
      <c r="E28" s="228"/>
    </row>
    <row r="29" spans="3:5" ht="18">
      <c r="C29" s="261"/>
      <c r="D29" s="261"/>
      <c r="E29" s="228"/>
    </row>
    <row r="30" spans="3:5" ht="18">
      <c r="C30" s="262"/>
      <c r="D30" s="262"/>
      <c r="E30" s="262"/>
    </row>
    <row r="31" spans="3:5" ht="18">
      <c r="C31" s="206"/>
      <c r="D31" s="206"/>
      <c r="E31" s="206"/>
    </row>
    <row r="32" spans="3:5" ht="18">
      <c r="C32" s="206"/>
      <c r="D32" s="206"/>
      <c r="E32" s="206"/>
    </row>
  </sheetData>
  <sheetProtection/>
  <mergeCells count="19">
    <mergeCell ref="C29:D29"/>
    <mergeCell ref="C30:E30"/>
    <mergeCell ref="C19:D19"/>
    <mergeCell ref="E19:F19"/>
    <mergeCell ref="C22:D22"/>
    <mergeCell ref="E22:G22"/>
    <mergeCell ref="C23:D23"/>
    <mergeCell ref="E23:G23"/>
    <mergeCell ref="C24:D24"/>
    <mergeCell ref="E24:G24"/>
    <mergeCell ref="C26:E26"/>
    <mergeCell ref="B1:G1"/>
    <mergeCell ref="B2:G2"/>
    <mergeCell ref="B5:G5"/>
    <mergeCell ref="B6:B7"/>
    <mergeCell ref="C6:D6"/>
    <mergeCell ref="E6:E7"/>
    <mergeCell ref="F6:F7"/>
    <mergeCell ref="G6:G7"/>
  </mergeCells>
  <printOptions/>
  <pageMargins left="0.7" right="0.7" top="0.43" bottom="0.42" header="0.3" footer="0.1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22">
      <selection activeCell="D30" sqref="D30"/>
    </sheetView>
  </sheetViews>
  <sheetFormatPr defaultColWidth="18.421875" defaultRowHeight="12.75"/>
  <cols>
    <col min="1" max="1" width="21.00390625" style="1" customWidth="1"/>
    <col min="2" max="2" width="24.7109375" style="1" customWidth="1"/>
    <col min="3" max="3" width="23.421875" style="1" customWidth="1"/>
    <col min="4" max="4" width="24.140625" style="1" customWidth="1"/>
    <col min="5" max="16384" width="18.421875" style="1" customWidth="1"/>
  </cols>
  <sheetData>
    <row r="1" spans="1:4" ht="23.25">
      <c r="A1" s="29" t="s">
        <v>159</v>
      </c>
      <c r="B1" s="30"/>
      <c r="C1" s="30"/>
      <c r="D1" s="31"/>
    </row>
    <row r="2" spans="1:4" ht="23.25">
      <c r="A2" s="32"/>
      <c r="B2" s="33"/>
      <c r="C2" s="33" t="s">
        <v>289</v>
      </c>
      <c r="D2" s="34"/>
    </row>
    <row r="3" spans="1:4" s="58" customFormat="1" ht="31.5">
      <c r="A3" s="35" t="s">
        <v>160</v>
      </c>
      <c r="B3" s="36"/>
      <c r="C3" s="36"/>
      <c r="D3" s="37"/>
    </row>
    <row r="4" spans="1:4" ht="23.25">
      <c r="A4" s="32"/>
      <c r="B4" s="33"/>
      <c r="C4" s="33" t="s">
        <v>321</v>
      </c>
      <c r="D4" s="34"/>
    </row>
    <row r="5" spans="1:5" ht="23.25">
      <c r="A5" s="32" t="s">
        <v>344</v>
      </c>
      <c r="B5" s="33"/>
      <c r="C5" s="33"/>
      <c r="D5" s="38">
        <v>5944743.45</v>
      </c>
      <c r="E5" s="2"/>
    </row>
    <row r="6" spans="1:4" ht="23.25">
      <c r="A6" s="32" t="s">
        <v>161</v>
      </c>
      <c r="B6" s="33"/>
      <c r="C6" s="33"/>
      <c r="D6" s="39"/>
    </row>
    <row r="7" spans="1:4" ht="23.25">
      <c r="A7" s="40" t="s">
        <v>162</v>
      </c>
      <c r="B7" s="41" t="s">
        <v>163</v>
      </c>
      <c r="C7" s="41" t="s">
        <v>155</v>
      </c>
      <c r="D7" s="39"/>
    </row>
    <row r="8" spans="1:5" ht="23.25">
      <c r="A8" s="32"/>
      <c r="B8" s="33"/>
      <c r="C8" s="33"/>
      <c r="D8" s="39"/>
      <c r="E8" s="33"/>
    </row>
    <row r="9" spans="1:5" ht="23.25">
      <c r="A9" s="42"/>
      <c r="B9" s="43"/>
      <c r="C9" s="43"/>
      <c r="D9" s="44"/>
      <c r="E9" s="33"/>
    </row>
    <row r="10" spans="1:4" ht="23.25">
      <c r="A10" s="32" t="s">
        <v>164</v>
      </c>
      <c r="B10" s="33"/>
      <c r="C10" s="33"/>
      <c r="D10" s="39"/>
    </row>
    <row r="11" spans="1:4" ht="23.25">
      <c r="A11" s="40" t="s">
        <v>165</v>
      </c>
      <c r="B11" s="41" t="s">
        <v>166</v>
      </c>
      <c r="C11" s="41" t="s">
        <v>155</v>
      </c>
      <c r="D11" s="39"/>
    </row>
    <row r="12" spans="1:4" ht="23.25">
      <c r="A12" s="189" t="s">
        <v>378</v>
      </c>
      <c r="B12" s="198" t="s">
        <v>375</v>
      </c>
      <c r="C12" s="47">
        <v>1800</v>
      </c>
      <c r="D12" s="109">
        <f>SUM(C12)</f>
        <v>1800</v>
      </c>
    </row>
    <row r="13" spans="1:4" ht="23.25">
      <c r="A13" s="48"/>
      <c r="B13" s="112"/>
      <c r="C13" s="50"/>
      <c r="D13" s="44"/>
    </row>
    <row r="14" spans="1:4" ht="23.25">
      <c r="A14" s="189"/>
      <c r="B14" s="188"/>
      <c r="C14" s="50"/>
      <c r="D14" s="39"/>
    </row>
    <row r="15" spans="1:4" ht="23.25">
      <c r="A15" s="48"/>
      <c r="B15" s="113"/>
      <c r="C15" s="50"/>
      <c r="D15" s="44"/>
    </row>
    <row r="16" spans="1:4" ht="23.25">
      <c r="A16" s="189"/>
      <c r="B16" s="112"/>
      <c r="C16" s="50"/>
      <c r="D16" s="44"/>
    </row>
    <row r="17" spans="1:5" ht="23.25">
      <c r="A17" s="48"/>
      <c r="B17" s="49"/>
      <c r="C17" s="50"/>
      <c r="D17" s="39"/>
      <c r="E17" s="59"/>
    </row>
    <row r="18" spans="1:5" ht="23.25">
      <c r="A18" s="48" t="s">
        <v>167</v>
      </c>
      <c r="B18" s="49"/>
      <c r="C18" s="50"/>
      <c r="D18" s="44"/>
      <c r="E18" s="33"/>
    </row>
    <row r="19" spans="1:5" ht="23.25">
      <c r="A19" s="32" t="s">
        <v>168</v>
      </c>
      <c r="B19" s="33"/>
      <c r="C19" s="33"/>
      <c r="D19" s="39"/>
      <c r="E19" s="33"/>
    </row>
    <row r="20" spans="1:5" ht="23.25">
      <c r="A20" s="32" t="s">
        <v>169</v>
      </c>
      <c r="B20" s="33"/>
      <c r="C20" s="33"/>
      <c r="D20" s="39"/>
      <c r="E20" s="33"/>
    </row>
    <row r="21" spans="1:5" ht="23.25">
      <c r="A21" s="51" t="s">
        <v>165</v>
      </c>
      <c r="B21" s="52" t="s">
        <v>166</v>
      </c>
      <c r="C21" s="52" t="s">
        <v>155</v>
      </c>
      <c r="D21" s="44"/>
      <c r="E21" s="33"/>
    </row>
    <row r="22" spans="1:5" ht="23.25">
      <c r="A22" s="45"/>
      <c r="B22" s="46"/>
      <c r="C22" s="47"/>
      <c r="D22" s="39"/>
      <c r="E22" s="33"/>
    </row>
    <row r="23" spans="1:5" ht="23.25">
      <c r="A23" s="53"/>
      <c r="B23" s="49"/>
      <c r="C23" s="54"/>
      <c r="D23" s="44"/>
      <c r="E23" s="33"/>
    </row>
    <row r="24" spans="1:5" ht="23.25">
      <c r="A24" s="55" t="s">
        <v>345</v>
      </c>
      <c r="B24" s="56"/>
      <c r="C24" s="33"/>
      <c r="D24" s="39">
        <v>5942943.45</v>
      </c>
      <c r="E24" s="200">
        <f>SUM(D5-D24)</f>
        <v>1800</v>
      </c>
    </row>
    <row r="25" spans="1:5" ht="23.25">
      <c r="A25" s="32" t="s">
        <v>170</v>
      </c>
      <c r="B25" s="33"/>
      <c r="C25" s="57" t="s">
        <v>171</v>
      </c>
      <c r="D25" s="31"/>
      <c r="E25" s="33"/>
    </row>
    <row r="26" spans="1:5" ht="23.25">
      <c r="A26" s="32"/>
      <c r="B26" s="33"/>
      <c r="C26" s="32"/>
      <c r="D26" s="34"/>
      <c r="E26" s="33"/>
    </row>
    <row r="27" spans="1:5" ht="23.25">
      <c r="A27" s="32" t="s">
        <v>172</v>
      </c>
      <c r="B27" s="33" t="s">
        <v>346</v>
      </c>
      <c r="C27" s="32" t="s">
        <v>173</v>
      </c>
      <c r="D27" s="34" t="s">
        <v>346</v>
      </c>
      <c r="E27" s="33"/>
    </row>
    <row r="28" spans="1:5" ht="23.25">
      <c r="A28" s="247" t="s">
        <v>325</v>
      </c>
      <c r="B28" s="248"/>
      <c r="C28" s="247" t="s">
        <v>379</v>
      </c>
      <c r="D28" s="249"/>
      <c r="E28" s="33"/>
    </row>
    <row r="29" spans="1:5" ht="23.25">
      <c r="A29" s="46"/>
      <c r="B29" s="46"/>
      <c r="C29" s="46"/>
      <c r="D29" s="46"/>
      <c r="E29" s="33"/>
    </row>
    <row r="30" spans="1:5" ht="23.25">
      <c r="A30" s="46"/>
      <c r="B30" s="46"/>
      <c r="C30" s="46"/>
      <c r="D30" s="46"/>
      <c r="E30" s="33"/>
    </row>
    <row r="31" spans="1:4" ht="23.25">
      <c r="A31" s="46"/>
      <c r="B31" s="46"/>
      <c r="C31" s="46"/>
      <c r="D31" s="46"/>
    </row>
    <row r="33" spans="1:4" ht="23.25">
      <c r="A33" s="29" t="s">
        <v>159</v>
      </c>
      <c r="B33" s="30"/>
      <c r="C33" s="30"/>
      <c r="D33" s="31"/>
    </row>
    <row r="34" spans="1:4" ht="23.25">
      <c r="A34" s="32"/>
      <c r="B34" s="33"/>
      <c r="C34" s="33" t="s">
        <v>326</v>
      </c>
      <c r="D34" s="34"/>
    </row>
    <row r="35" spans="1:4" s="58" customFormat="1" ht="31.5">
      <c r="A35" s="35" t="s">
        <v>160</v>
      </c>
      <c r="B35" s="36"/>
      <c r="C35" s="36"/>
      <c r="D35" s="37"/>
    </row>
    <row r="36" spans="1:4" ht="23.25">
      <c r="A36" s="32"/>
      <c r="B36" s="33"/>
      <c r="C36" s="33" t="s">
        <v>328</v>
      </c>
      <c r="D36" s="34"/>
    </row>
    <row r="37" spans="1:5" ht="23.25">
      <c r="A37" s="32" t="s">
        <v>333</v>
      </c>
      <c r="B37" s="33"/>
      <c r="C37" s="33"/>
      <c r="D37" s="38">
        <v>3175874.33</v>
      </c>
      <c r="E37" s="2"/>
    </row>
    <row r="38" spans="1:4" ht="23.25">
      <c r="A38" s="32" t="s">
        <v>161</v>
      </c>
      <c r="B38" s="33"/>
      <c r="C38" s="33"/>
      <c r="D38" s="39"/>
    </row>
    <row r="39" spans="1:4" ht="23.25">
      <c r="A39" s="40" t="s">
        <v>162</v>
      </c>
      <c r="B39" s="41" t="s">
        <v>163</v>
      </c>
      <c r="C39" s="41" t="s">
        <v>155</v>
      </c>
      <c r="D39" s="39"/>
    </row>
    <row r="40" spans="1:5" ht="23.25">
      <c r="A40" s="32"/>
      <c r="B40" s="33"/>
      <c r="C40" s="33"/>
      <c r="D40" s="39"/>
      <c r="E40" s="33"/>
    </row>
    <row r="41" spans="1:5" ht="23.25">
      <c r="A41" s="42"/>
      <c r="B41" s="43"/>
      <c r="C41" s="43"/>
      <c r="D41" s="44"/>
      <c r="E41" s="33"/>
    </row>
    <row r="42" spans="1:4" ht="23.25">
      <c r="A42" s="32" t="s">
        <v>164</v>
      </c>
      <c r="B42" s="33"/>
      <c r="C42" s="33"/>
      <c r="D42" s="39"/>
    </row>
    <row r="43" spans="1:4" ht="23.25">
      <c r="A43" s="40" t="s">
        <v>165</v>
      </c>
      <c r="B43" s="41" t="s">
        <v>166</v>
      </c>
      <c r="C43" s="41" t="s">
        <v>155</v>
      </c>
      <c r="D43" s="39"/>
    </row>
    <row r="44" spans="1:4" ht="23.25">
      <c r="A44" s="189"/>
      <c r="B44" s="205"/>
      <c r="C44" s="47"/>
      <c r="D44" s="109"/>
    </row>
    <row r="45" spans="1:4" ht="23.25">
      <c r="A45" s="48"/>
      <c r="B45" s="112"/>
      <c r="C45" s="50"/>
      <c r="D45" s="44"/>
    </row>
    <row r="46" spans="1:4" ht="23.25">
      <c r="A46" s="189"/>
      <c r="B46" s="188"/>
      <c r="C46" s="50"/>
      <c r="D46" s="39"/>
    </row>
    <row r="47" spans="1:4" ht="23.25">
      <c r="A47" s="48"/>
      <c r="B47" s="113"/>
      <c r="C47" s="50"/>
      <c r="D47" s="44"/>
    </row>
    <row r="48" spans="1:4" ht="23.25">
      <c r="A48" s="189"/>
      <c r="B48" s="112"/>
      <c r="C48" s="50"/>
      <c r="D48" s="44"/>
    </row>
    <row r="49" spans="1:5" ht="23.25">
      <c r="A49" s="250"/>
      <c r="B49" s="251"/>
      <c r="C49" s="251"/>
      <c r="D49" s="39"/>
      <c r="E49" s="59"/>
    </row>
    <row r="50" spans="1:5" ht="23.25">
      <c r="A50" s="48" t="s">
        <v>167</v>
      </c>
      <c r="B50" s="49"/>
      <c r="C50" s="50"/>
      <c r="D50" s="44"/>
      <c r="E50" s="33"/>
    </row>
    <row r="51" spans="1:5" ht="23.25">
      <c r="A51" s="32" t="s">
        <v>168</v>
      </c>
      <c r="B51" s="33"/>
      <c r="C51" s="33"/>
      <c r="D51" s="39"/>
      <c r="E51" s="33"/>
    </row>
    <row r="52" spans="1:5" ht="23.25">
      <c r="A52" s="32" t="s">
        <v>169</v>
      </c>
      <c r="B52" s="252" t="s">
        <v>327</v>
      </c>
      <c r="C52" s="252"/>
      <c r="D52" s="39">
        <v>20008.58</v>
      </c>
      <c r="E52" s="33"/>
    </row>
    <row r="53" spans="1:5" ht="23.25">
      <c r="A53" s="51" t="s">
        <v>165</v>
      </c>
      <c r="B53" s="52" t="s">
        <v>166</v>
      </c>
      <c r="C53" s="52" t="s">
        <v>155</v>
      </c>
      <c r="D53" s="44"/>
      <c r="E53" s="33"/>
    </row>
    <row r="54" spans="1:5" ht="23.25">
      <c r="A54" s="45"/>
      <c r="B54" s="46"/>
      <c r="C54" s="47"/>
      <c r="D54" s="39"/>
      <c r="E54" s="33"/>
    </row>
    <row r="55" spans="1:5" ht="23.25">
      <c r="A55" s="53"/>
      <c r="B55" s="49"/>
      <c r="C55" s="54"/>
      <c r="D55" s="44"/>
      <c r="E55" s="33"/>
    </row>
    <row r="56" spans="1:5" ht="23.25">
      <c r="A56" s="55" t="s">
        <v>334</v>
      </c>
      <c r="B56" s="56"/>
      <c r="C56" s="33"/>
      <c r="D56" s="39">
        <v>3155865.75</v>
      </c>
      <c r="E56" s="200">
        <f>SUM(D37-D56)</f>
        <v>20008.580000000075</v>
      </c>
    </row>
    <row r="57" spans="1:5" ht="23.25">
      <c r="A57" s="32" t="s">
        <v>170</v>
      </c>
      <c r="B57" s="33"/>
      <c r="C57" s="57" t="s">
        <v>171</v>
      </c>
      <c r="D57" s="31"/>
      <c r="E57" s="204"/>
    </row>
    <row r="58" spans="1:5" ht="23.25">
      <c r="A58" s="32"/>
      <c r="B58" s="33"/>
      <c r="C58" s="32"/>
      <c r="D58" s="34"/>
      <c r="E58" s="200"/>
    </row>
    <row r="59" spans="1:5" ht="23.25">
      <c r="A59" s="32" t="s">
        <v>172</v>
      </c>
      <c r="B59" s="33" t="s">
        <v>332</v>
      </c>
      <c r="C59" s="32" t="s">
        <v>173</v>
      </c>
      <c r="D59" s="34" t="s">
        <v>331</v>
      </c>
      <c r="E59" s="33"/>
    </row>
    <row r="60" spans="1:5" ht="23.25">
      <c r="A60" s="247" t="s">
        <v>325</v>
      </c>
      <c r="B60" s="248"/>
      <c r="C60" s="247" t="s">
        <v>174</v>
      </c>
      <c r="D60" s="249"/>
      <c r="E60" s="33"/>
    </row>
  </sheetData>
  <sheetProtection/>
  <mergeCells count="6">
    <mergeCell ref="A60:B60"/>
    <mergeCell ref="C60:D60"/>
    <mergeCell ref="A49:C49"/>
    <mergeCell ref="A28:B28"/>
    <mergeCell ref="C28:D28"/>
    <mergeCell ref="B52:C52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3"/>
  <sheetViews>
    <sheetView zoomScaleSheetLayoutView="100" zoomScalePageLayoutView="0" workbookViewId="0" topLeftCell="D100">
      <selection activeCell="K25" sqref="K25"/>
    </sheetView>
  </sheetViews>
  <sheetFormatPr defaultColWidth="9.140625" defaultRowHeight="12.75"/>
  <cols>
    <col min="1" max="1" width="14.421875" style="136" customWidth="1"/>
    <col min="2" max="2" width="15.7109375" style="136" customWidth="1"/>
    <col min="3" max="3" width="37.7109375" style="136" customWidth="1"/>
    <col min="4" max="4" width="12.28125" style="183" customWidth="1"/>
    <col min="5" max="5" width="18.7109375" style="136" customWidth="1"/>
    <col min="6" max="6" width="11.28125" style="136" customWidth="1"/>
    <col min="7" max="7" width="13.8515625" style="136" customWidth="1"/>
    <col min="8" max="8" width="18.00390625" style="136" customWidth="1"/>
    <col min="9" max="9" width="19.421875" style="137" customWidth="1"/>
    <col min="10" max="10" width="18.8515625" style="136" customWidth="1"/>
    <col min="11" max="11" width="17.140625" style="136" customWidth="1"/>
    <col min="12" max="12" width="11.7109375" style="136" bestFit="1" customWidth="1"/>
    <col min="13" max="16384" width="9.140625" style="136" customWidth="1"/>
  </cols>
  <sheetData>
    <row r="1" spans="1:5" ht="18.75">
      <c r="A1" s="255" t="s">
        <v>20</v>
      </c>
      <c r="B1" s="255"/>
      <c r="C1" s="255"/>
      <c r="D1" s="255"/>
      <c r="E1" s="255"/>
    </row>
    <row r="2" spans="1:5" ht="18.75">
      <c r="A2" s="255" t="s">
        <v>21</v>
      </c>
      <c r="B2" s="255"/>
      <c r="C2" s="255"/>
      <c r="D2" s="255"/>
      <c r="E2" s="255"/>
    </row>
    <row r="3" spans="1:4" ht="18.75">
      <c r="A3" s="135"/>
      <c r="B3" s="135"/>
      <c r="C3" s="135"/>
      <c r="D3" s="129" t="s">
        <v>337</v>
      </c>
    </row>
    <row r="4" spans="1:5" ht="18.75">
      <c r="A4" s="238" t="s">
        <v>22</v>
      </c>
      <c r="B4" s="238"/>
      <c r="C4" s="238"/>
      <c r="D4" s="238"/>
      <c r="E4" s="238"/>
    </row>
    <row r="5" spans="1:5" ht="19.5" thickBot="1">
      <c r="A5" s="138"/>
      <c r="B5" s="138"/>
      <c r="C5" s="138"/>
      <c r="D5" s="129" t="s">
        <v>340</v>
      </c>
      <c r="E5" s="138"/>
    </row>
    <row r="6" spans="1:5" ht="19.5" thickTop="1">
      <c r="A6" s="256" t="s">
        <v>23</v>
      </c>
      <c r="B6" s="257"/>
      <c r="C6" s="139"/>
      <c r="D6" s="140"/>
      <c r="E6" s="141" t="s">
        <v>147</v>
      </c>
    </row>
    <row r="7" spans="1:5" ht="18.75">
      <c r="A7" s="142" t="s">
        <v>121</v>
      </c>
      <c r="B7" s="143" t="s">
        <v>24</v>
      </c>
      <c r="C7" s="144" t="s">
        <v>87</v>
      </c>
      <c r="D7" s="145" t="s">
        <v>25</v>
      </c>
      <c r="E7" s="146" t="s">
        <v>24</v>
      </c>
    </row>
    <row r="8" spans="1:5" ht="19.5" thickBot="1">
      <c r="A8" s="147" t="s">
        <v>26</v>
      </c>
      <c r="B8" s="148" t="s">
        <v>26</v>
      </c>
      <c r="C8" s="147"/>
      <c r="D8" s="149" t="s">
        <v>27</v>
      </c>
      <c r="E8" s="148" t="s">
        <v>26</v>
      </c>
    </row>
    <row r="9" spans="1:5" ht="19.5" thickTop="1">
      <c r="A9" s="139"/>
      <c r="B9" s="150">
        <v>21756620.35</v>
      </c>
      <c r="C9" s="151" t="s">
        <v>28</v>
      </c>
      <c r="D9" s="140"/>
      <c r="E9" s="152">
        <v>21756620.35</v>
      </c>
    </row>
    <row r="10" spans="1:11" ht="18.75">
      <c r="A10" s="144"/>
      <c r="B10" s="150"/>
      <c r="C10" s="153" t="s">
        <v>306</v>
      </c>
      <c r="D10" s="145"/>
      <c r="E10" s="154"/>
      <c r="I10" s="116"/>
      <c r="J10" s="115"/>
      <c r="K10" s="115"/>
    </row>
    <row r="11" spans="1:12" ht="18.75">
      <c r="A11" s="150">
        <v>69850</v>
      </c>
      <c r="B11" s="154">
        <v>0</v>
      </c>
      <c r="C11" s="155" t="s">
        <v>29</v>
      </c>
      <c r="D11" s="145" t="s">
        <v>30</v>
      </c>
      <c r="E11" s="154">
        <v>0</v>
      </c>
      <c r="G11" s="156"/>
      <c r="I11" s="116"/>
      <c r="J11" s="123"/>
      <c r="K11" s="123"/>
      <c r="L11" s="156"/>
    </row>
    <row r="12" spans="1:12" ht="18.75">
      <c r="A12" s="150">
        <v>350</v>
      </c>
      <c r="B12" s="154">
        <v>192.68</v>
      </c>
      <c r="C12" s="155" t="s">
        <v>31</v>
      </c>
      <c r="D12" s="145" t="s">
        <v>32</v>
      </c>
      <c r="E12" s="154">
        <v>192.68</v>
      </c>
      <c r="G12" s="156"/>
      <c r="I12" s="116"/>
      <c r="J12" s="123"/>
      <c r="K12" s="123"/>
      <c r="L12" s="156"/>
    </row>
    <row r="13" spans="1:11" ht="18.75">
      <c r="A13" s="150">
        <v>107140</v>
      </c>
      <c r="B13" s="154">
        <v>984.15</v>
      </c>
      <c r="C13" s="155" t="s">
        <v>33</v>
      </c>
      <c r="D13" s="145" t="s">
        <v>34</v>
      </c>
      <c r="E13" s="154">
        <v>984.15</v>
      </c>
      <c r="G13" s="156"/>
      <c r="J13" s="156"/>
      <c r="K13" s="156"/>
    </row>
    <row r="14" spans="1:10" ht="18.75">
      <c r="A14" s="150">
        <v>0</v>
      </c>
      <c r="B14" s="154">
        <v>0</v>
      </c>
      <c r="C14" s="155" t="s">
        <v>35</v>
      </c>
      <c r="D14" s="145" t="s">
        <v>36</v>
      </c>
      <c r="E14" s="154">
        <v>0</v>
      </c>
      <c r="G14" s="156"/>
      <c r="I14" s="116"/>
      <c r="J14" s="123"/>
    </row>
    <row r="15" spans="1:10" ht="18.75">
      <c r="A15" s="150">
        <v>198250</v>
      </c>
      <c r="B15" s="154">
        <v>0</v>
      </c>
      <c r="C15" s="155" t="s">
        <v>37</v>
      </c>
      <c r="D15" s="145" t="s">
        <v>38</v>
      </c>
      <c r="E15" s="154">
        <v>0</v>
      </c>
      <c r="G15" s="156"/>
      <c r="J15" s="156"/>
    </row>
    <row r="16" spans="1:7" ht="18.75">
      <c r="A16" s="150">
        <v>0</v>
      </c>
      <c r="B16" s="154">
        <v>0</v>
      </c>
      <c r="C16" s="155" t="s">
        <v>39</v>
      </c>
      <c r="D16" s="145" t="s">
        <v>40</v>
      </c>
      <c r="E16" s="154">
        <v>0</v>
      </c>
      <c r="G16" s="156"/>
    </row>
    <row r="17" spans="1:7" ht="18.75">
      <c r="A17" s="150">
        <v>9808360</v>
      </c>
      <c r="B17" s="154">
        <v>954887.34</v>
      </c>
      <c r="C17" s="155" t="s">
        <v>41</v>
      </c>
      <c r="D17" s="145" t="s">
        <v>42</v>
      </c>
      <c r="E17" s="154">
        <v>954887.34</v>
      </c>
      <c r="F17" s="156"/>
      <c r="G17" s="156"/>
    </row>
    <row r="18" spans="1:7" ht="18.75">
      <c r="A18" s="157">
        <v>7615990</v>
      </c>
      <c r="B18" s="158">
        <v>0</v>
      </c>
      <c r="C18" s="155" t="s">
        <v>43</v>
      </c>
      <c r="D18" s="145" t="s">
        <v>44</v>
      </c>
      <c r="E18" s="158">
        <v>0</v>
      </c>
      <c r="G18" s="156"/>
    </row>
    <row r="19" spans="1:7" ht="19.5" thickBot="1">
      <c r="A19" s="159">
        <f>SUM(A11:A18)</f>
        <v>17799940</v>
      </c>
      <c r="B19" s="160">
        <f>SUM(B11:B18)</f>
        <v>956064.1699999999</v>
      </c>
      <c r="D19" s="145"/>
      <c r="E19" s="160">
        <f>SUM(E11+E12+E13+E14+E15+E16+E17+E18)</f>
        <v>956064.1699999999</v>
      </c>
      <c r="F19" s="156"/>
      <c r="G19" s="156"/>
    </row>
    <row r="20" spans="1:7" ht="19.5" thickTop="1">
      <c r="A20" s="161"/>
      <c r="B20" s="162">
        <v>814.89</v>
      </c>
      <c r="C20" s="155" t="s">
        <v>286</v>
      </c>
      <c r="D20" s="145" t="s">
        <v>45</v>
      </c>
      <c r="E20" s="152">
        <f>SUM(814.89)</f>
        <v>814.89</v>
      </c>
      <c r="G20" s="156"/>
    </row>
    <row r="21" spans="1:7" ht="18.75">
      <c r="A21" s="161"/>
      <c r="B21" s="150">
        <v>85400</v>
      </c>
      <c r="C21" s="163" t="s">
        <v>9</v>
      </c>
      <c r="D21" s="145" t="s">
        <v>46</v>
      </c>
      <c r="E21" s="154">
        <f>SUM(5900+5900+3000+3000+3000+32300+32300)</f>
        <v>85400</v>
      </c>
      <c r="G21" s="156"/>
    </row>
    <row r="22" spans="1:7" ht="18.75">
      <c r="A22" s="161"/>
      <c r="B22" s="150">
        <v>600</v>
      </c>
      <c r="C22" s="155" t="s">
        <v>8</v>
      </c>
      <c r="D22" s="145" t="s">
        <v>10</v>
      </c>
      <c r="E22" s="154">
        <f>SUM(600)</f>
        <v>600</v>
      </c>
      <c r="F22" s="156"/>
      <c r="G22" s="156"/>
    </row>
    <row r="23" spans="1:7" ht="18.75">
      <c r="A23" s="161"/>
      <c r="B23" s="154">
        <v>0</v>
      </c>
      <c r="C23" s="164" t="s">
        <v>188</v>
      </c>
      <c r="D23" s="145" t="s">
        <v>189</v>
      </c>
      <c r="E23" s="154">
        <v>0</v>
      </c>
      <c r="G23" s="156"/>
    </row>
    <row r="24" spans="1:7" ht="18.75">
      <c r="A24" s="161"/>
      <c r="B24" s="154">
        <v>0</v>
      </c>
      <c r="C24" s="161" t="s">
        <v>298</v>
      </c>
      <c r="D24" s="145" t="s">
        <v>291</v>
      </c>
      <c r="E24" s="154">
        <v>0</v>
      </c>
      <c r="G24" s="156"/>
    </row>
    <row r="25" spans="1:7" ht="18.75">
      <c r="A25" s="161"/>
      <c r="B25" s="150">
        <v>5814</v>
      </c>
      <c r="C25" s="155" t="s">
        <v>198</v>
      </c>
      <c r="D25" s="145" t="s">
        <v>197</v>
      </c>
      <c r="E25" s="154">
        <v>5814</v>
      </c>
      <c r="G25" s="156"/>
    </row>
    <row r="26" spans="1:7" ht="18.75">
      <c r="A26" s="161"/>
      <c r="B26" s="154">
        <v>0</v>
      </c>
      <c r="C26" s="161" t="s">
        <v>292</v>
      </c>
      <c r="D26" s="165" t="s">
        <v>293</v>
      </c>
      <c r="E26" s="154">
        <v>0</v>
      </c>
      <c r="G26" s="156"/>
    </row>
    <row r="27" spans="1:7" ht="18.75">
      <c r="A27" s="161"/>
      <c r="B27" s="150">
        <v>0</v>
      </c>
      <c r="C27" s="155" t="s">
        <v>296</v>
      </c>
      <c r="D27" s="145" t="s">
        <v>291</v>
      </c>
      <c r="E27" s="154">
        <v>0</v>
      </c>
      <c r="G27" s="156"/>
    </row>
    <row r="28" spans="1:7" ht="18.75">
      <c r="A28" s="161"/>
      <c r="B28" s="150">
        <v>0</v>
      </c>
      <c r="C28" s="155" t="s">
        <v>300</v>
      </c>
      <c r="D28" s="145" t="s">
        <v>299</v>
      </c>
      <c r="E28" s="154">
        <v>0</v>
      </c>
      <c r="G28" s="156"/>
    </row>
    <row r="29" spans="1:10" ht="18.75">
      <c r="A29" s="161"/>
      <c r="B29" s="150"/>
      <c r="C29" s="155"/>
      <c r="D29" s="145"/>
      <c r="E29" s="154"/>
      <c r="J29" s="156"/>
    </row>
    <row r="30" spans="1:10" ht="18.75">
      <c r="A30" s="161"/>
      <c r="B30" s="150"/>
      <c r="C30" s="155"/>
      <c r="D30" s="145"/>
      <c r="E30" s="154"/>
      <c r="J30" s="156"/>
    </row>
    <row r="31" spans="1:5" ht="18.75">
      <c r="A31" s="161"/>
      <c r="B31" s="150"/>
      <c r="C31" s="155"/>
      <c r="D31" s="145"/>
      <c r="E31" s="154"/>
    </row>
    <row r="32" spans="1:5" ht="18.75">
      <c r="A32" s="161"/>
      <c r="B32" s="150"/>
      <c r="C32" s="155"/>
      <c r="D32" s="145"/>
      <c r="E32" s="154"/>
    </row>
    <row r="33" spans="1:5" ht="18.75">
      <c r="A33" s="161"/>
      <c r="B33" s="150"/>
      <c r="C33" s="155"/>
      <c r="D33" s="145"/>
      <c r="E33" s="154"/>
    </row>
    <row r="34" spans="1:5" ht="18.75">
      <c r="A34" s="161"/>
      <c r="B34" s="150"/>
      <c r="C34" s="155"/>
      <c r="D34" s="145"/>
      <c r="E34" s="154"/>
    </row>
    <row r="35" spans="1:5" ht="18.75">
      <c r="A35" s="161"/>
      <c r="B35" s="150"/>
      <c r="C35" s="155"/>
      <c r="D35" s="145"/>
      <c r="E35" s="154"/>
    </row>
    <row r="36" spans="1:5" ht="18.75">
      <c r="A36" s="161"/>
      <c r="B36" s="150"/>
      <c r="C36" s="155"/>
      <c r="D36" s="145"/>
      <c r="E36" s="154"/>
    </row>
    <row r="37" spans="1:5" ht="18.75">
      <c r="A37" s="161"/>
      <c r="B37" s="157"/>
      <c r="C37" s="155"/>
      <c r="D37" s="145"/>
      <c r="E37" s="158"/>
    </row>
    <row r="38" spans="1:5" ht="18.75">
      <c r="A38" s="161"/>
      <c r="B38" s="132">
        <f>SUM(B20:B37)</f>
        <v>92628.89</v>
      </c>
      <c r="D38" s="145"/>
      <c r="E38" s="132">
        <f>SUM(E20:E37)</f>
        <v>92628.89</v>
      </c>
    </row>
    <row r="39" spans="1:5" ht="18.75">
      <c r="A39" s="161"/>
      <c r="B39" s="166">
        <f>SUM(B38+B19)</f>
        <v>1048693.0599999998</v>
      </c>
      <c r="C39" s="144" t="s">
        <v>47</v>
      </c>
      <c r="D39" s="167"/>
      <c r="E39" s="168">
        <f>SUM(E38+E19)</f>
        <v>1048693.0599999998</v>
      </c>
    </row>
    <row r="40" spans="1:5" ht="18.75">
      <c r="A40" s="161"/>
      <c r="B40" s="169"/>
      <c r="C40" s="170"/>
      <c r="D40" s="171"/>
      <c r="E40" s="169"/>
    </row>
    <row r="41" spans="1:5" ht="18.75">
      <c r="A41" s="161"/>
      <c r="B41" s="169"/>
      <c r="C41" s="170"/>
      <c r="D41" s="171"/>
      <c r="E41" s="169"/>
    </row>
    <row r="42" spans="1:5" ht="18.75">
      <c r="A42" s="161"/>
      <c r="B42" s="169"/>
      <c r="C42" s="170"/>
      <c r="D42" s="171"/>
      <c r="E42" s="169"/>
    </row>
    <row r="43" spans="1:5" ht="18.75">
      <c r="A43" s="161"/>
      <c r="B43" s="169"/>
      <c r="C43" s="170"/>
      <c r="D43" s="171"/>
      <c r="E43" s="169"/>
    </row>
    <row r="44" spans="1:5" ht="18.75">
      <c r="A44" s="161"/>
      <c r="B44" s="169"/>
      <c r="C44" s="170"/>
      <c r="D44" s="171"/>
      <c r="E44" s="169"/>
    </row>
    <row r="45" spans="1:5" ht="18.75">
      <c r="A45" s="253" t="s">
        <v>23</v>
      </c>
      <c r="B45" s="254"/>
      <c r="C45" s="142"/>
      <c r="D45" s="172"/>
      <c r="E45" s="173" t="s">
        <v>147</v>
      </c>
    </row>
    <row r="46" spans="1:5" ht="18.75">
      <c r="A46" s="143" t="s">
        <v>121</v>
      </c>
      <c r="B46" s="170" t="s">
        <v>24</v>
      </c>
      <c r="C46" s="144" t="s">
        <v>87</v>
      </c>
      <c r="D46" s="145" t="s">
        <v>25</v>
      </c>
      <c r="E46" s="146" t="s">
        <v>24</v>
      </c>
    </row>
    <row r="47" spans="1:5" ht="18.75">
      <c r="A47" s="174" t="s">
        <v>26</v>
      </c>
      <c r="B47" s="175" t="s">
        <v>26</v>
      </c>
      <c r="C47" s="176"/>
      <c r="D47" s="167" t="s">
        <v>27</v>
      </c>
      <c r="E47" s="174" t="s">
        <v>26</v>
      </c>
    </row>
    <row r="48" spans="1:5" ht="18.75">
      <c r="A48" s="150"/>
      <c r="B48" s="144"/>
      <c r="C48" s="153" t="s">
        <v>48</v>
      </c>
      <c r="D48" s="145"/>
      <c r="E48" s="146"/>
    </row>
    <row r="49" spans="1:9" ht="18.75">
      <c r="A49" s="150">
        <v>532110</v>
      </c>
      <c r="B49" s="154">
        <v>101840</v>
      </c>
      <c r="C49" s="164" t="s">
        <v>49</v>
      </c>
      <c r="D49" s="145" t="s">
        <v>119</v>
      </c>
      <c r="E49" s="154">
        <f>SUM(101840)</f>
        <v>101840</v>
      </c>
      <c r="F49" s="156"/>
      <c r="G49" s="156"/>
      <c r="H49" s="156"/>
      <c r="I49" s="156"/>
    </row>
    <row r="50" spans="1:9" ht="18.75">
      <c r="A50" s="150">
        <v>213090</v>
      </c>
      <c r="B50" s="154">
        <v>4500</v>
      </c>
      <c r="C50" s="164" t="s">
        <v>49</v>
      </c>
      <c r="D50" s="145" t="s">
        <v>149</v>
      </c>
      <c r="E50" s="154">
        <f>SUM(4500)</f>
        <v>4500</v>
      </c>
      <c r="F50" s="156"/>
      <c r="G50" s="156"/>
      <c r="I50" s="156"/>
    </row>
    <row r="51" spans="1:8" ht="18.75">
      <c r="A51" s="150">
        <v>3934800</v>
      </c>
      <c r="B51" s="154">
        <v>289518.06</v>
      </c>
      <c r="C51" s="164" t="s">
        <v>50</v>
      </c>
      <c r="D51" s="145" t="s">
        <v>11</v>
      </c>
      <c r="E51" s="154">
        <f>SUM(289518.06)</f>
        <v>289518.06</v>
      </c>
      <c r="F51" s="156"/>
      <c r="G51" s="156"/>
      <c r="H51" s="156"/>
    </row>
    <row r="52" spans="1:7" ht="18.75">
      <c r="A52" s="150">
        <v>180000</v>
      </c>
      <c r="B52" s="154">
        <v>15000</v>
      </c>
      <c r="C52" s="164" t="s">
        <v>51</v>
      </c>
      <c r="D52" s="145" t="s">
        <v>12</v>
      </c>
      <c r="E52" s="154">
        <f>SUM(15000)</f>
        <v>15000</v>
      </c>
      <c r="F52" s="156"/>
      <c r="G52" s="156"/>
    </row>
    <row r="53" spans="1:8" ht="18.75">
      <c r="A53" s="150">
        <v>724400</v>
      </c>
      <c r="B53" s="154">
        <v>33000</v>
      </c>
      <c r="C53" s="164" t="s">
        <v>177</v>
      </c>
      <c r="D53" s="145" t="s">
        <v>178</v>
      </c>
      <c r="E53" s="154">
        <f>SUM(33000)</f>
        <v>33000</v>
      </c>
      <c r="F53" s="156"/>
      <c r="G53" s="156"/>
      <c r="H53" s="156"/>
    </row>
    <row r="54" spans="1:8" ht="18.75">
      <c r="A54" s="150">
        <v>2051800</v>
      </c>
      <c r="B54" s="154">
        <v>178517.55</v>
      </c>
      <c r="C54" s="164" t="s">
        <v>184</v>
      </c>
      <c r="D54" s="145" t="s">
        <v>185</v>
      </c>
      <c r="E54" s="154">
        <f>SUM(178517.55)</f>
        <v>178517.55</v>
      </c>
      <c r="G54" s="156"/>
      <c r="H54" s="156"/>
    </row>
    <row r="55" spans="1:8" ht="18.75">
      <c r="A55" s="150">
        <v>1200000</v>
      </c>
      <c r="B55" s="154">
        <v>0</v>
      </c>
      <c r="C55" s="164" t="s">
        <v>184</v>
      </c>
      <c r="D55" s="145" t="s">
        <v>349</v>
      </c>
      <c r="E55" s="154">
        <v>0</v>
      </c>
      <c r="G55" s="156"/>
      <c r="H55" s="156"/>
    </row>
    <row r="56" spans="1:8" ht="18.75">
      <c r="A56" s="150">
        <v>1723040</v>
      </c>
      <c r="B56" s="154">
        <v>210360</v>
      </c>
      <c r="C56" s="164" t="s">
        <v>52</v>
      </c>
      <c r="D56" s="145" t="s">
        <v>13</v>
      </c>
      <c r="E56" s="154">
        <f>SUM(124960+5900+5900+3000+3000+3000+32300+32300)</f>
        <v>210360</v>
      </c>
      <c r="G56" s="156"/>
      <c r="H56" s="156"/>
    </row>
    <row r="57" spans="1:7" ht="18.75">
      <c r="A57" s="150">
        <v>2076980</v>
      </c>
      <c r="B57" s="154">
        <v>59834</v>
      </c>
      <c r="C57" s="164" t="s">
        <v>52</v>
      </c>
      <c r="D57" s="145" t="s">
        <v>179</v>
      </c>
      <c r="E57" s="154">
        <f>SUM(59834)</f>
        <v>59834</v>
      </c>
      <c r="G57" s="156"/>
    </row>
    <row r="58" spans="1:7" ht="18.75">
      <c r="A58" s="150">
        <v>625000</v>
      </c>
      <c r="B58" s="154">
        <v>0</v>
      </c>
      <c r="C58" s="164" t="s">
        <v>53</v>
      </c>
      <c r="D58" s="145" t="s">
        <v>54</v>
      </c>
      <c r="E58" s="154">
        <v>0</v>
      </c>
      <c r="G58" s="156"/>
    </row>
    <row r="59" spans="1:7" ht="18.75">
      <c r="A59" s="150">
        <v>1319220</v>
      </c>
      <c r="B59" s="154">
        <v>0</v>
      </c>
      <c r="C59" s="164" t="s">
        <v>53</v>
      </c>
      <c r="D59" s="145" t="s">
        <v>186</v>
      </c>
      <c r="E59" s="154">
        <v>0</v>
      </c>
      <c r="F59" s="156"/>
      <c r="G59" s="156"/>
    </row>
    <row r="60" spans="1:7" ht="18.75">
      <c r="A60" s="150">
        <v>229800</v>
      </c>
      <c r="B60" s="154">
        <v>13500</v>
      </c>
      <c r="C60" s="164" t="s">
        <v>55</v>
      </c>
      <c r="D60" s="145" t="s">
        <v>14</v>
      </c>
      <c r="E60" s="154">
        <f>SUM(13500)</f>
        <v>13500</v>
      </c>
      <c r="G60" s="156"/>
    </row>
    <row r="61" spans="1:7" ht="18.75">
      <c r="A61" s="150">
        <v>165000</v>
      </c>
      <c r="B61" s="154">
        <v>0</v>
      </c>
      <c r="C61" s="164" t="s">
        <v>43</v>
      </c>
      <c r="D61" s="145" t="s">
        <v>180</v>
      </c>
      <c r="E61" s="154">
        <v>0</v>
      </c>
      <c r="F61" s="156"/>
      <c r="G61" s="156"/>
    </row>
    <row r="62" spans="1:7" ht="18.75">
      <c r="A62" s="150">
        <v>2044000</v>
      </c>
      <c r="B62" s="154">
        <v>0</v>
      </c>
      <c r="C62" s="164" t="s">
        <v>43</v>
      </c>
      <c r="D62" s="145" t="s">
        <v>181</v>
      </c>
      <c r="E62" s="154">
        <v>0</v>
      </c>
      <c r="G62" s="156"/>
    </row>
    <row r="63" spans="1:7" ht="18.75">
      <c r="A63" s="150">
        <v>6000</v>
      </c>
      <c r="B63" s="154">
        <v>0</v>
      </c>
      <c r="C63" s="164" t="s">
        <v>56</v>
      </c>
      <c r="D63" s="145" t="s">
        <v>15</v>
      </c>
      <c r="E63" s="154">
        <v>0</v>
      </c>
      <c r="G63" s="156"/>
    </row>
    <row r="64" spans="1:7" ht="18.75">
      <c r="A64" s="150">
        <v>102700</v>
      </c>
      <c r="B64" s="154">
        <v>0</v>
      </c>
      <c r="C64" s="164" t="s">
        <v>56</v>
      </c>
      <c r="D64" s="145" t="s">
        <v>182</v>
      </c>
      <c r="E64" s="154">
        <v>0</v>
      </c>
      <c r="F64" s="156"/>
      <c r="G64" s="156"/>
    </row>
    <row r="65" spans="1:7" ht="18.75">
      <c r="A65" s="150">
        <v>0</v>
      </c>
      <c r="B65" s="154">
        <v>0</v>
      </c>
      <c r="C65" s="164" t="s">
        <v>57</v>
      </c>
      <c r="D65" s="145" t="s">
        <v>58</v>
      </c>
      <c r="E65" s="154">
        <v>0</v>
      </c>
      <c r="G65" s="156"/>
    </row>
    <row r="66" spans="1:7" ht="18.75">
      <c r="A66" s="150">
        <v>660000</v>
      </c>
      <c r="B66" s="154">
        <v>0</v>
      </c>
      <c r="C66" s="164" t="s">
        <v>57</v>
      </c>
      <c r="D66" s="145" t="s">
        <v>150</v>
      </c>
      <c r="E66" s="154">
        <v>0</v>
      </c>
      <c r="F66" s="156"/>
      <c r="G66" s="156"/>
    </row>
    <row r="67" spans="1:7" ht="18.75">
      <c r="A67" s="150">
        <v>12000</v>
      </c>
      <c r="B67" s="154">
        <v>0</v>
      </c>
      <c r="C67" s="164" t="s">
        <v>19</v>
      </c>
      <c r="D67" s="145" t="s">
        <v>311</v>
      </c>
      <c r="E67" s="154">
        <v>0</v>
      </c>
      <c r="G67" s="156"/>
    </row>
    <row r="68" spans="1:7" ht="18.75">
      <c r="A68" s="150">
        <v>0</v>
      </c>
      <c r="B68" s="192" t="s">
        <v>310</v>
      </c>
      <c r="C68" s="164" t="s">
        <v>19</v>
      </c>
      <c r="D68" s="145" t="s">
        <v>312</v>
      </c>
      <c r="E68" s="154">
        <v>0</v>
      </c>
      <c r="G68" s="156"/>
    </row>
    <row r="69" spans="1:8" ht="19.5" thickBot="1">
      <c r="A69" s="159">
        <f>SUM(A49:A68)</f>
        <v>17799940</v>
      </c>
      <c r="B69" s="160">
        <f>SUM(B49:B68)</f>
        <v>906069.61</v>
      </c>
      <c r="D69" s="145"/>
      <c r="E69" s="160">
        <f>SUM(E49:E68)</f>
        <v>906069.61</v>
      </c>
      <c r="F69" s="156"/>
      <c r="G69" s="156"/>
      <c r="H69" s="156"/>
    </row>
    <row r="70" spans="1:7" ht="19.5" thickTop="1">
      <c r="A70" s="199"/>
      <c r="B70" s="152">
        <v>366408.22</v>
      </c>
      <c r="C70" s="164" t="s">
        <v>59</v>
      </c>
      <c r="D70" s="145" t="s">
        <v>60</v>
      </c>
      <c r="E70" s="152">
        <f>SUM(366408.22)</f>
        <v>366408.22</v>
      </c>
      <c r="G70" s="156"/>
    </row>
    <row r="71" spans="1:7" ht="18.75">
      <c r="A71" s="178"/>
      <c r="B71" s="154">
        <v>0</v>
      </c>
      <c r="C71" s="164" t="s">
        <v>282</v>
      </c>
      <c r="D71" s="145" t="s">
        <v>283</v>
      </c>
      <c r="E71" s="154">
        <v>0</v>
      </c>
      <c r="F71" s="156"/>
      <c r="G71" s="156"/>
    </row>
    <row r="72" spans="1:7" ht="18.75">
      <c r="A72" s="178"/>
      <c r="B72" s="154">
        <v>0</v>
      </c>
      <c r="C72" s="164" t="s">
        <v>287</v>
      </c>
      <c r="D72" s="145" t="s">
        <v>284</v>
      </c>
      <c r="E72" s="154">
        <v>0</v>
      </c>
      <c r="F72" s="156"/>
      <c r="G72" s="156"/>
    </row>
    <row r="73" spans="1:7" ht="18.75">
      <c r="A73" s="161"/>
      <c r="B73" s="154">
        <v>0</v>
      </c>
      <c r="C73" s="164" t="s">
        <v>175</v>
      </c>
      <c r="D73" s="145" t="s">
        <v>191</v>
      </c>
      <c r="E73" s="154">
        <v>0</v>
      </c>
      <c r="G73" s="156"/>
    </row>
    <row r="74" spans="1:10" ht="18.75">
      <c r="A74" s="161"/>
      <c r="B74" s="154">
        <v>3173.41</v>
      </c>
      <c r="C74" s="164" t="s">
        <v>286</v>
      </c>
      <c r="D74" s="145" t="s">
        <v>45</v>
      </c>
      <c r="E74" s="154">
        <f>SUM(3173.41)</f>
        <v>3173.41</v>
      </c>
      <c r="G74" s="156"/>
      <c r="J74" s="156"/>
    </row>
    <row r="75" spans="1:7" ht="18.75">
      <c r="A75" s="161"/>
      <c r="B75" s="154">
        <v>85400</v>
      </c>
      <c r="C75" s="161" t="s">
        <v>9</v>
      </c>
      <c r="D75" s="145" t="s">
        <v>46</v>
      </c>
      <c r="E75" s="177">
        <f>SUM(85400)</f>
        <v>85400</v>
      </c>
      <c r="G75" s="156"/>
    </row>
    <row r="76" spans="1:7" ht="18.75">
      <c r="A76" s="178"/>
      <c r="B76" s="154">
        <v>0</v>
      </c>
      <c r="C76" s="161" t="s">
        <v>188</v>
      </c>
      <c r="D76" s="145" t="s">
        <v>189</v>
      </c>
      <c r="E76" s="177">
        <v>0</v>
      </c>
      <c r="G76" s="156"/>
    </row>
    <row r="77" spans="1:7" ht="18.75">
      <c r="A77" s="161"/>
      <c r="B77" s="154">
        <v>469800</v>
      </c>
      <c r="C77" s="161" t="s">
        <v>288</v>
      </c>
      <c r="D77" s="145" t="s">
        <v>10</v>
      </c>
      <c r="E77" s="177">
        <f>SUM(469800)</f>
        <v>469800</v>
      </c>
      <c r="G77" s="156"/>
    </row>
    <row r="78" spans="1:7" ht="18.75">
      <c r="A78" s="161"/>
      <c r="B78" s="154">
        <v>0</v>
      </c>
      <c r="C78" s="155" t="s">
        <v>302</v>
      </c>
      <c r="D78" s="145" t="s">
        <v>301</v>
      </c>
      <c r="E78" s="177">
        <v>0</v>
      </c>
      <c r="G78" s="156"/>
    </row>
    <row r="79" spans="1:7" ht="18.75">
      <c r="A79" s="161"/>
      <c r="B79" s="154">
        <v>0</v>
      </c>
      <c r="C79" s="155" t="s">
        <v>303</v>
      </c>
      <c r="D79" s="145" t="s">
        <v>304</v>
      </c>
      <c r="E79" s="177">
        <v>0</v>
      </c>
      <c r="G79" s="156"/>
    </row>
    <row r="80" spans="1:7" ht="18.75">
      <c r="A80" s="161"/>
      <c r="B80" s="154">
        <v>0</v>
      </c>
      <c r="C80" s="161" t="s">
        <v>292</v>
      </c>
      <c r="D80" s="145" t="s">
        <v>293</v>
      </c>
      <c r="E80" s="177">
        <v>0</v>
      </c>
      <c r="G80" s="156"/>
    </row>
    <row r="81" spans="1:7" ht="18.75">
      <c r="A81" s="161"/>
      <c r="B81" s="154">
        <v>0</v>
      </c>
      <c r="C81" s="155" t="s">
        <v>300</v>
      </c>
      <c r="D81" s="145" t="s">
        <v>299</v>
      </c>
      <c r="E81" s="154"/>
      <c r="G81" s="156"/>
    </row>
    <row r="82" spans="1:10" ht="18.75">
      <c r="A82" s="161"/>
      <c r="B82" s="154">
        <v>0</v>
      </c>
      <c r="C82" s="161" t="s">
        <v>296</v>
      </c>
      <c r="D82" s="145" t="s">
        <v>291</v>
      </c>
      <c r="E82" s="177">
        <v>0</v>
      </c>
      <c r="G82" s="156"/>
      <c r="J82" s="156"/>
    </row>
    <row r="83" spans="1:11" ht="18.75">
      <c r="A83" s="161"/>
      <c r="B83" s="132">
        <f>SUM(B70:B82)</f>
        <v>924781.6299999999</v>
      </c>
      <c r="C83" s="161"/>
      <c r="D83" s="145"/>
      <c r="E83" s="132">
        <f>SUM(E70+E71+E72+E73+E74+E75+E76+E77+E78+E79+E80+E81+E82)</f>
        <v>924781.6299999999</v>
      </c>
      <c r="H83" s="156"/>
      <c r="J83" s="156"/>
      <c r="K83" s="156"/>
    </row>
    <row r="84" spans="1:11" ht="18.75">
      <c r="A84" s="161"/>
      <c r="B84" s="132">
        <f>SUM(B83+B69)</f>
        <v>1830851.2399999998</v>
      </c>
      <c r="C84" s="170" t="s">
        <v>61</v>
      </c>
      <c r="D84" s="145"/>
      <c r="E84" s="180">
        <f>SUM(E69+E83)</f>
        <v>1830851.2399999998</v>
      </c>
      <c r="J84" s="156"/>
      <c r="K84" s="156"/>
    </row>
    <row r="85" spans="1:11" ht="18.75">
      <c r="A85" s="161"/>
      <c r="B85" s="154"/>
      <c r="C85" s="170" t="s">
        <v>62</v>
      </c>
      <c r="D85" s="145"/>
      <c r="E85" s="177"/>
      <c r="J85" s="156"/>
      <c r="K85" s="156"/>
    </row>
    <row r="86" spans="1:5" ht="18.75">
      <c r="A86" s="161"/>
      <c r="B86" s="154">
        <f>SUM(B39-B84)</f>
        <v>-782158.1799999999</v>
      </c>
      <c r="C86" s="170" t="s">
        <v>63</v>
      </c>
      <c r="D86" s="145"/>
      <c r="E86" s="177">
        <f>SUM(E39-E84)</f>
        <v>-782158.1799999999</v>
      </c>
    </row>
    <row r="87" spans="1:10" ht="18.75">
      <c r="A87" s="161"/>
      <c r="B87" s="154"/>
      <c r="C87" s="170" t="s">
        <v>64</v>
      </c>
      <c r="D87" s="145"/>
      <c r="E87" s="179"/>
      <c r="J87" s="156"/>
    </row>
    <row r="88" spans="2:11" ht="19.5" thickBot="1">
      <c r="B88" s="160">
        <f>SUM(B9+B86)</f>
        <v>20974462.17</v>
      </c>
      <c r="C88" s="170" t="s">
        <v>65</v>
      </c>
      <c r="D88" s="145"/>
      <c r="E88" s="181">
        <f>SUM(E9+E86)</f>
        <v>20974462.17</v>
      </c>
      <c r="F88" s="156"/>
      <c r="G88" s="156"/>
      <c r="J88" s="156"/>
      <c r="K88" s="137"/>
    </row>
    <row r="89" spans="2:11" ht="19.5" thickTop="1">
      <c r="B89" s="182"/>
      <c r="C89" s="170"/>
      <c r="E89" s="182"/>
      <c r="F89" s="156"/>
      <c r="G89" s="156"/>
      <c r="K89" s="137"/>
    </row>
    <row r="90" spans="2:11" ht="18.75">
      <c r="B90" s="182"/>
      <c r="C90" s="170"/>
      <c r="E90" s="182"/>
      <c r="G90" s="156"/>
      <c r="K90" s="156"/>
    </row>
    <row r="91" spans="2:11" ht="18.75">
      <c r="B91" s="182"/>
      <c r="C91" s="170"/>
      <c r="E91" s="182"/>
      <c r="G91" s="156"/>
      <c r="K91" s="184"/>
    </row>
    <row r="92" spans="1:6" ht="18.75">
      <c r="A92" s="115"/>
      <c r="B92" s="115"/>
      <c r="C92" s="115"/>
      <c r="D92" s="115"/>
      <c r="E92" s="123"/>
      <c r="F92" s="156"/>
    </row>
    <row r="93" spans="1:5" ht="18.75">
      <c r="A93" s="238"/>
      <c r="B93" s="238"/>
      <c r="C93" s="238"/>
      <c r="D93" s="238"/>
      <c r="E93" s="238"/>
    </row>
    <row r="94" spans="1:10" ht="18.75">
      <c r="A94" s="115"/>
      <c r="B94" s="115"/>
      <c r="C94" s="115"/>
      <c r="D94" s="185"/>
      <c r="E94" s="115"/>
      <c r="J94" s="186"/>
    </row>
    <row r="95" spans="6:10" ht="18.75">
      <c r="F95" s="186"/>
      <c r="J95" s="186"/>
    </row>
    <row r="96" ht="18.75">
      <c r="J96" s="186"/>
    </row>
    <row r="97" spans="1:7" ht="18.75">
      <c r="A97" s="238"/>
      <c r="B97" s="238"/>
      <c r="C97" s="238"/>
      <c r="D97" s="238"/>
      <c r="E97" s="238"/>
      <c r="G97" s="156"/>
    </row>
    <row r="98" spans="1:5" ht="18.75">
      <c r="A98" s="238"/>
      <c r="B98" s="238"/>
      <c r="C98" s="238"/>
      <c r="D98" s="238"/>
      <c r="E98" s="238"/>
    </row>
    <row r="99" ht="18.75">
      <c r="C99" s="114"/>
    </row>
    <row r="100" ht="18.75">
      <c r="C100" s="114"/>
    </row>
    <row r="102" spans="1:5" ht="18.75">
      <c r="A102" s="238"/>
      <c r="B102" s="238"/>
      <c r="C102" s="238"/>
      <c r="D102" s="196"/>
      <c r="E102" s="196"/>
    </row>
    <row r="103" spans="1:3" ht="18.75">
      <c r="A103" s="115"/>
      <c r="B103" s="115"/>
      <c r="C103" s="115"/>
    </row>
    <row r="104" spans="1:3" ht="18.75">
      <c r="A104" s="115"/>
      <c r="B104" s="115"/>
      <c r="C104" s="115"/>
    </row>
    <row r="105" spans="1:6" ht="18.75">
      <c r="A105" s="238"/>
      <c r="B105" s="238"/>
      <c r="C105" s="238"/>
      <c r="D105" s="239"/>
      <c r="E105" s="239"/>
      <c r="F105" s="239"/>
    </row>
    <row r="106" spans="1:6" ht="18.75">
      <c r="A106" s="238"/>
      <c r="B106" s="238"/>
      <c r="C106" s="238"/>
      <c r="D106" s="239"/>
      <c r="E106" s="239"/>
      <c r="F106" s="239"/>
    </row>
    <row r="107" spans="3:4" ht="18.75">
      <c r="C107" s="128"/>
      <c r="D107" s="128"/>
    </row>
    <row r="109" ht="18.75">
      <c r="C109" s="183"/>
    </row>
    <row r="112" spans="3:4" ht="18.75">
      <c r="C112" s="183"/>
      <c r="D112" s="196"/>
    </row>
    <row r="113" spans="3:4" ht="18.75">
      <c r="C113" s="183"/>
      <c r="D113" s="196"/>
    </row>
  </sheetData>
  <sheetProtection/>
  <mergeCells count="13">
    <mergeCell ref="A1:E1"/>
    <mergeCell ref="A2:E2"/>
    <mergeCell ref="A4:E4"/>
    <mergeCell ref="A6:B6"/>
    <mergeCell ref="A106:C106"/>
    <mergeCell ref="A97:E97"/>
    <mergeCell ref="A98:E98"/>
    <mergeCell ref="A45:B45"/>
    <mergeCell ref="D105:F105"/>
    <mergeCell ref="D106:F106"/>
    <mergeCell ref="A93:E93"/>
    <mergeCell ref="A102:C102"/>
    <mergeCell ref="A105:C105"/>
  </mergeCells>
  <printOptions/>
  <pageMargins left="0.35433070866141736" right="0.15748031496062992" top="0.11811023622047245" bottom="0.11811023622047245" header="0.5118110236220472" footer="0.5118110236220472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16"/>
  <sheetViews>
    <sheetView zoomScalePageLayoutView="0" workbookViewId="0" topLeftCell="A73">
      <selection activeCell="Q135" sqref="Q135"/>
    </sheetView>
  </sheetViews>
  <sheetFormatPr defaultColWidth="9.140625" defaultRowHeight="12.75"/>
  <cols>
    <col min="1" max="1" width="8.7109375" style="14" customWidth="1"/>
    <col min="2" max="2" width="7.421875" style="101" customWidth="1"/>
    <col min="3" max="3" width="7.57421875" style="13" customWidth="1"/>
    <col min="4" max="4" width="7.00390625" style="13" customWidth="1"/>
    <col min="5" max="5" width="6.28125" style="13" customWidth="1"/>
    <col min="6" max="6" width="8.00390625" style="13" customWidth="1"/>
    <col min="7" max="7" width="7.57421875" style="13" customWidth="1"/>
    <col min="8" max="8" width="7.421875" style="13" customWidth="1"/>
    <col min="9" max="9" width="7.7109375" style="101" customWidth="1"/>
    <col min="10" max="10" width="6.7109375" style="13" customWidth="1"/>
    <col min="11" max="12" width="6.00390625" style="13" customWidth="1"/>
    <col min="13" max="13" width="6.7109375" style="13" customWidth="1"/>
    <col min="14" max="14" width="7.421875" style="13" customWidth="1"/>
    <col min="15" max="15" width="6.8515625" style="13" customWidth="1"/>
    <col min="16" max="16" width="7.00390625" style="101" customWidth="1"/>
    <col min="17" max="17" width="7.57421875" style="13" customWidth="1"/>
    <col min="18" max="18" width="6.8515625" style="13" customWidth="1"/>
    <col min="19" max="19" width="7.421875" style="13" customWidth="1"/>
    <col min="20" max="20" width="10.28125" style="13" customWidth="1"/>
    <col min="21" max="21" width="9.140625" style="63" customWidth="1"/>
    <col min="22" max="22" width="9.57421875" style="63" customWidth="1"/>
    <col min="23" max="16384" width="9.140625" style="13" customWidth="1"/>
  </cols>
  <sheetData>
    <row r="1" spans="1:20" ht="16.5">
      <c r="A1" s="235" t="s">
        <v>206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</row>
    <row r="2" spans="1:20" ht="16.5">
      <c r="A2" s="235" t="s">
        <v>285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</row>
    <row r="3" spans="1:20" ht="16.5">
      <c r="A3" s="258" t="s">
        <v>341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</row>
    <row r="4" spans="1:20" ht="16.5">
      <c r="A4" s="94" t="s">
        <v>207</v>
      </c>
      <c r="B4" s="259" t="s">
        <v>208</v>
      </c>
      <c r="C4" s="260"/>
      <c r="D4" s="259" t="s">
        <v>209</v>
      </c>
      <c r="E4" s="260"/>
      <c r="F4" s="259" t="s">
        <v>210</v>
      </c>
      <c r="G4" s="260"/>
      <c r="H4" s="95" t="s">
        <v>211</v>
      </c>
      <c r="I4" s="98" t="s">
        <v>212</v>
      </c>
      <c r="J4" s="259" t="s">
        <v>213</v>
      </c>
      <c r="K4" s="260"/>
      <c r="L4" s="259" t="s">
        <v>214</v>
      </c>
      <c r="M4" s="260"/>
      <c r="N4" s="259" t="s">
        <v>215</v>
      </c>
      <c r="O4" s="260"/>
      <c r="P4" s="96"/>
      <c r="Q4" s="259" t="s">
        <v>216</v>
      </c>
      <c r="R4" s="260"/>
      <c r="S4" s="11" t="s">
        <v>217</v>
      </c>
      <c r="T4" s="231" t="s">
        <v>218</v>
      </c>
    </row>
    <row r="5" spans="1:20" ht="16.5">
      <c r="A5" s="97" t="s">
        <v>85</v>
      </c>
      <c r="B5" s="98" t="s">
        <v>219</v>
      </c>
      <c r="C5" s="11" t="s">
        <v>220</v>
      </c>
      <c r="D5" s="11" t="s">
        <v>221</v>
      </c>
      <c r="E5" s="11" t="s">
        <v>222</v>
      </c>
      <c r="F5" s="11" t="s">
        <v>223</v>
      </c>
      <c r="G5" s="11" t="s">
        <v>224</v>
      </c>
      <c r="H5" s="11" t="s">
        <v>225</v>
      </c>
      <c r="I5" s="98" t="s">
        <v>226</v>
      </c>
      <c r="J5" s="11" t="s">
        <v>227</v>
      </c>
      <c r="K5" s="11" t="s">
        <v>228</v>
      </c>
      <c r="L5" s="11" t="s">
        <v>335</v>
      </c>
      <c r="M5" s="11" t="s">
        <v>229</v>
      </c>
      <c r="N5" s="11" t="s">
        <v>230</v>
      </c>
      <c r="O5" s="11" t="s">
        <v>231</v>
      </c>
      <c r="P5" s="98" t="s">
        <v>232</v>
      </c>
      <c r="Q5" s="11" t="s">
        <v>233</v>
      </c>
      <c r="R5" s="11" t="s">
        <v>234</v>
      </c>
      <c r="S5" s="11" t="s">
        <v>235</v>
      </c>
      <c r="T5" s="232"/>
    </row>
    <row r="6" spans="1:22" s="101" customFormat="1" ht="14.25">
      <c r="A6" s="99" t="s">
        <v>236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>
        <v>0</v>
      </c>
      <c r="T6" s="100">
        <f>SUM(S6)</f>
        <v>0</v>
      </c>
      <c r="U6" s="110"/>
      <c r="V6" s="110"/>
    </row>
    <row r="7" spans="1:22" s="101" customFormat="1" ht="14.25">
      <c r="A7" s="98" t="s">
        <v>237</v>
      </c>
      <c r="B7" s="100">
        <v>0</v>
      </c>
      <c r="C7" s="100">
        <v>0</v>
      </c>
      <c r="D7" s="100">
        <v>0</v>
      </c>
      <c r="E7" s="100">
        <v>0</v>
      </c>
      <c r="F7" s="100">
        <v>0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  <c r="L7" s="100"/>
      <c r="M7" s="100">
        <v>0</v>
      </c>
      <c r="N7" s="100">
        <v>0</v>
      </c>
      <c r="O7" s="100">
        <v>0</v>
      </c>
      <c r="P7" s="100">
        <v>0</v>
      </c>
      <c r="Q7" s="100">
        <v>0</v>
      </c>
      <c r="R7" s="100">
        <v>0</v>
      </c>
      <c r="S7" s="100">
        <f>SUM(4500+101840)</f>
        <v>106340</v>
      </c>
      <c r="T7" s="100">
        <f>SUM(B7:S7)</f>
        <v>106340</v>
      </c>
      <c r="U7" s="110"/>
      <c r="V7" s="110"/>
    </row>
    <row r="8" spans="1:22" s="101" customFormat="1" ht="14.25">
      <c r="A8" s="98" t="s">
        <v>297</v>
      </c>
      <c r="B8" s="100">
        <v>0</v>
      </c>
      <c r="C8" s="100">
        <v>0</v>
      </c>
      <c r="D8" s="100">
        <v>0</v>
      </c>
      <c r="E8" s="100">
        <v>0</v>
      </c>
      <c r="F8" s="100">
        <v>0</v>
      </c>
      <c r="G8" s="100">
        <v>0</v>
      </c>
      <c r="H8" s="100"/>
      <c r="I8" s="100">
        <v>0</v>
      </c>
      <c r="J8" s="100">
        <v>0</v>
      </c>
      <c r="K8" s="100">
        <v>0</v>
      </c>
      <c r="L8" s="100"/>
      <c r="M8" s="100">
        <v>0</v>
      </c>
      <c r="N8" s="100">
        <v>0</v>
      </c>
      <c r="O8" s="100">
        <v>0</v>
      </c>
      <c r="P8" s="100">
        <v>0</v>
      </c>
      <c r="Q8" s="100">
        <v>0</v>
      </c>
      <c r="R8" s="100">
        <v>0</v>
      </c>
      <c r="S8" s="100"/>
      <c r="T8" s="100">
        <f>SUM(B8:S8)</f>
        <v>0</v>
      </c>
      <c r="U8" s="110"/>
      <c r="V8" s="110"/>
    </row>
    <row r="9" spans="1:22" s="101" customFormat="1" ht="14.25">
      <c r="A9" s="98" t="s">
        <v>238</v>
      </c>
      <c r="B9" s="100">
        <v>0</v>
      </c>
      <c r="C9" s="100">
        <v>0</v>
      </c>
      <c r="D9" s="100">
        <v>0</v>
      </c>
      <c r="E9" s="100">
        <v>0</v>
      </c>
      <c r="F9" s="100">
        <v>0</v>
      </c>
      <c r="G9" s="100">
        <v>0</v>
      </c>
      <c r="H9" s="100"/>
      <c r="I9" s="100">
        <v>0</v>
      </c>
      <c r="J9" s="100">
        <v>0</v>
      </c>
      <c r="K9" s="100">
        <v>0</v>
      </c>
      <c r="L9" s="100"/>
      <c r="M9" s="100">
        <v>0</v>
      </c>
      <c r="N9" s="100">
        <v>0</v>
      </c>
      <c r="O9" s="100">
        <v>0</v>
      </c>
      <c r="P9" s="100">
        <v>0</v>
      </c>
      <c r="Q9" s="100">
        <v>0</v>
      </c>
      <c r="R9" s="100">
        <v>0</v>
      </c>
      <c r="S9" s="100">
        <v>0</v>
      </c>
      <c r="T9" s="100">
        <f>SUM(B9:S9)</f>
        <v>0</v>
      </c>
      <c r="U9" s="110"/>
      <c r="V9" s="110"/>
    </row>
    <row r="10" spans="1:22" s="101" customFormat="1" ht="14.25">
      <c r="A10" s="102" t="s">
        <v>239</v>
      </c>
      <c r="B10" s="100">
        <f aca="true" t="shared" si="0" ref="B10:H10">SUM(B7:B9)</f>
        <v>0</v>
      </c>
      <c r="C10" s="100">
        <f t="shared" si="0"/>
        <v>0</v>
      </c>
      <c r="D10" s="100">
        <f t="shared" si="0"/>
        <v>0</v>
      </c>
      <c r="E10" s="100">
        <f t="shared" si="0"/>
        <v>0</v>
      </c>
      <c r="F10" s="100">
        <f t="shared" si="0"/>
        <v>0</v>
      </c>
      <c r="G10" s="100">
        <f t="shared" si="0"/>
        <v>0</v>
      </c>
      <c r="H10" s="100">
        <f t="shared" si="0"/>
        <v>0</v>
      </c>
      <c r="I10" s="100">
        <v>0</v>
      </c>
      <c r="J10" s="100">
        <f aca="true" t="shared" si="1" ref="J10:R10">SUM(J7:J9)</f>
        <v>0</v>
      </c>
      <c r="K10" s="100">
        <f t="shared" si="1"/>
        <v>0</v>
      </c>
      <c r="L10" s="100"/>
      <c r="M10" s="100">
        <f t="shared" si="1"/>
        <v>0</v>
      </c>
      <c r="N10" s="100">
        <f t="shared" si="1"/>
        <v>0</v>
      </c>
      <c r="O10" s="100">
        <f t="shared" si="1"/>
        <v>0</v>
      </c>
      <c r="P10" s="100">
        <f t="shared" si="1"/>
        <v>0</v>
      </c>
      <c r="Q10" s="100">
        <f t="shared" si="1"/>
        <v>0</v>
      </c>
      <c r="R10" s="100">
        <f t="shared" si="1"/>
        <v>0</v>
      </c>
      <c r="S10" s="100">
        <f>SUM(S6:S9)</f>
        <v>106340</v>
      </c>
      <c r="T10" s="100">
        <f>SUM(B10:S10)</f>
        <v>106340</v>
      </c>
      <c r="U10" s="110"/>
      <c r="V10" s="110"/>
    </row>
    <row r="11" spans="1:22" s="101" customFormat="1" ht="14.25">
      <c r="A11" s="102" t="s">
        <v>240</v>
      </c>
      <c r="B11" s="100">
        <v>0</v>
      </c>
      <c r="C11" s="100">
        <v>0</v>
      </c>
      <c r="D11" s="100"/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/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f>SUM(106340)</f>
        <v>106340</v>
      </c>
      <c r="T11" s="100">
        <f>SUM(B11:S11)</f>
        <v>106340</v>
      </c>
      <c r="U11" s="110"/>
      <c r="V11" s="110"/>
    </row>
    <row r="12" spans="1:22" s="101" customFormat="1" ht="14.25">
      <c r="A12" s="99" t="s">
        <v>241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10"/>
      <c r="V12" s="110"/>
    </row>
    <row r="13" spans="1:22" s="101" customFormat="1" ht="14.25">
      <c r="A13" s="98">
        <v>101</v>
      </c>
      <c r="B13" s="100">
        <f>SUM(42840+7200)</f>
        <v>50040</v>
      </c>
      <c r="C13" s="100">
        <v>0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/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f>SUM(B13:S13)</f>
        <v>50040</v>
      </c>
      <c r="U13" s="110"/>
      <c r="V13" s="110"/>
    </row>
    <row r="14" spans="1:22" s="101" customFormat="1" ht="14.25">
      <c r="A14" s="98">
        <v>102</v>
      </c>
      <c r="B14" s="100">
        <f>SUM(73052.9)</f>
        <v>73052.9</v>
      </c>
      <c r="C14" s="100">
        <f>SUM(53010)</f>
        <v>53010</v>
      </c>
      <c r="D14" s="100">
        <v>0</v>
      </c>
      <c r="E14" s="100">
        <v>0</v>
      </c>
      <c r="F14" s="100">
        <f>SUM(14300)</f>
        <v>14300</v>
      </c>
      <c r="G14" s="100">
        <v>0</v>
      </c>
      <c r="H14" s="100">
        <v>0</v>
      </c>
      <c r="I14" s="100">
        <v>0</v>
      </c>
      <c r="J14" s="100">
        <v>31200</v>
      </c>
      <c r="K14" s="100">
        <v>0</v>
      </c>
      <c r="L14" s="100">
        <f>SUM(11920)</f>
        <v>11920</v>
      </c>
      <c r="M14" s="100">
        <v>0</v>
      </c>
      <c r="N14" s="100">
        <v>0</v>
      </c>
      <c r="O14" s="100">
        <v>0</v>
      </c>
      <c r="P14" s="100">
        <v>0</v>
      </c>
      <c r="Q14" s="100">
        <v>14300</v>
      </c>
      <c r="R14" s="100">
        <v>0</v>
      </c>
      <c r="S14" s="100">
        <v>0</v>
      </c>
      <c r="T14" s="100">
        <f>SUM(B14:S14)</f>
        <v>197782.9</v>
      </c>
      <c r="U14" s="110"/>
      <c r="V14" s="110"/>
    </row>
    <row r="15" spans="1:22" s="101" customFormat="1" ht="14.25">
      <c r="A15" s="98">
        <v>103</v>
      </c>
      <c r="B15" s="100">
        <f>SUM(5177.74+7537.42+3510)</f>
        <v>16225.16</v>
      </c>
      <c r="C15" s="100">
        <f>SUM(1480+10070)</f>
        <v>11550</v>
      </c>
      <c r="D15" s="100">
        <v>0</v>
      </c>
      <c r="E15" s="100">
        <v>0</v>
      </c>
      <c r="F15" s="100">
        <f>SUM(1470)</f>
        <v>1470</v>
      </c>
      <c r="G15" s="100">
        <v>0</v>
      </c>
      <c r="H15" s="100">
        <v>0</v>
      </c>
      <c r="I15" s="100">
        <v>0</v>
      </c>
      <c r="J15" s="100">
        <f>SUM(160+1500)</f>
        <v>1660</v>
      </c>
      <c r="K15" s="100">
        <v>0</v>
      </c>
      <c r="L15" s="100">
        <f>SUM(420+2660)</f>
        <v>3080</v>
      </c>
      <c r="M15" s="100">
        <v>0</v>
      </c>
      <c r="N15" s="100">
        <v>0</v>
      </c>
      <c r="O15" s="100">
        <v>0</v>
      </c>
      <c r="P15" s="100">
        <v>0</v>
      </c>
      <c r="Q15" s="100">
        <v>700</v>
      </c>
      <c r="R15" s="100">
        <v>0</v>
      </c>
      <c r="S15" s="100">
        <v>0</v>
      </c>
      <c r="T15" s="100">
        <f>SUM(B15:S15)</f>
        <v>34685.16</v>
      </c>
      <c r="U15" s="110"/>
      <c r="V15" s="110"/>
    </row>
    <row r="16" spans="1:22" s="101" customFormat="1" ht="14.25">
      <c r="A16" s="98">
        <v>105</v>
      </c>
      <c r="B16" s="100">
        <f>SUM(3500+3510)</f>
        <v>7010</v>
      </c>
      <c r="C16" s="100">
        <v>0</v>
      </c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/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0">
        <v>0</v>
      </c>
      <c r="T16" s="100">
        <v>0</v>
      </c>
      <c r="U16" s="110"/>
      <c r="V16" s="110"/>
    </row>
    <row r="17" spans="1:22" s="101" customFormat="1" ht="14.25">
      <c r="A17" s="98">
        <v>106</v>
      </c>
      <c r="B17" s="100">
        <v>0</v>
      </c>
      <c r="C17" s="100">
        <v>0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/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0">
        <v>0</v>
      </c>
      <c r="U17" s="110"/>
      <c r="V17" s="110"/>
    </row>
    <row r="18" spans="1:22" s="101" customFormat="1" ht="14.25">
      <c r="A18" s="102" t="s">
        <v>239</v>
      </c>
      <c r="B18" s="100">
        <f aca="true" t="shared" si="2" ref="B18:S18">SUM(B13:B17)</f>
        <v>146328.06</v>
      </c>
      <c r="C18" s="100">
        <f t="shared" si="2"/>
        <v>64560</v>
      </c>
      <c r="D18" s="100">
        <f t="shared" si="2"/>
        <v>0</v>
      </c>
      <c r="E18" s="100">
        <f t="shared" si="2"/>
        <v>0</v>
      </c>
      <c r="F18" s="100">
        <f t="shared" si="2"/>
        <v>15770</v>
      </c>
      <c r="G18" s="100">
        <f t="shared" si="2"/>
        <v>0</v>
      </c>
      <c r="H18" s="100">
        <f t="shared" si="2"/>
        <v>0</v>
      </c>
      <c r="I18" s="100">
        <f t="shared" si="2"/>
        <v>0</v>
      </c>
      <c r="J18" s="100">
        <f>SUM(J13:J17)</f>
        <v>32860</v>
      </c>
      <c r="K18" s="100">
        <f t="shared" si="2"/>
        <v>0</v>
      </c>
      <c r="L18" s="100">
        <f>SUM(L13:L17)</f>
        <v>15000</v>
      </c>
      <c r="M18" s="100">
        <f t="shared" si="2"/>
        <v>0</v>
      </c>
      <c r="N18" s="100">
        <f t="shared" si="2"/>
        <v>0</v>
      </c>
      <c r="O18" s="100">
        <f t="shared" si="2"/>
        <v>0</v>
      </c>
      <c r="P18" s="100">
        <f t="shared" si="2"/>
        <v>0</v>
      </c>
      <c r="Q18" s="100">
        <f>SUM(Q13:Q17)</f>
        <v>15000</v>
      </c>
      <c r="R18" s="100">
        <f t="shared" si="2"/>
        <v>0</v>
      </c>
      <c r="S18" s="100">
        <f t="shared" si="2"/>
        <v>0</v>
      </c>
      <c r="T18" s="100">
        <f>SUM(B18:S18)</f>
        <v>289518.06</v>
      </c>
      <c r="U18" s="110"/>
      <c r="V18" s="110"/>
    </row>
    <row r="19" spans="1:22" s="101" customFormat="1" ht="14.25">
      <c r="A19" s="102" t="s">
        <v>240</v>
      </c>
      <c r="B19" s="100">
        <f>SUM(146328.06)</f>
        <v>146328.06</v>
      </c>
      <c r="C19" s="100">
        <f>SUM(64560)</f>
        <v>64560</v>
      </c>
      <c r="D19" s="100">
        <v>0</v>
      </c>
      <c r="E19" s="100">
        <v>0</v>
      </c>
      <c r="F19" s="100">
        <f>SUM(15770)</f>
        <v>15770</v>
      </c>
      <c r="G19" s="100">
        <v>0</v>
      </c>
      <c r="H19" s="100">
        <v>0</v>
      </c>
      <c r="I19" s="100">
        <v>0</v>
      </c>
      <c r="J19" s="100">
        <f>SUM(32860)</f>
        <v>32860</v>
      </c>
      <c r="K19" s="100">
        <v>0</v>
      </c>
      <c r="L19" s="100">
        <f>SUM(15000)</f>
        <v>15000</v>
      </c>
      <c r="M19" s="100">
        <v>0</v>
      </c>
      <c r="N19" s="100">
        <v>0</v>
      </c>
      <c r="O19" s="100">
        <v>0</v>
      </c>
      <c r="P19" s="100">
        <v>0</v>
      </c>
      <c r="Q19" s="100">
        <f>SUM(15000)</f>
        <v>15000</v>
      </c>
      <c r="R19" s="100">
        <v>0</v>
      </c>
      <c r="S19" s="100">
        <v>0</v>
      </c>
      <c r="T19" s="100">
        <f>SUM(B19:S19)</f>
        <v>289518.06</v>
      </c>
      <c r="U19" s="110"/>
      <c r="V19" s="110"/>
    </row>
    <row r="20" spans="1:22" s="101" customFormat="1" ht="14.25">
      <c r="A20" s="99" t="s">
        <v>242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10"/>
      <c r="V20" s="110"/>
    </row>
    <row r="21" spans="1:22" s="101" customFormat="1" ht="14.25">
      <c r="A21" s="98" t="s">
        <v>243</v>
      </c>
      <c r="B21" s="100">
        <v>0</v>
      </c>
      <c r="C21" s="100">
        <f>SUM(11180)</f>
        <v>11180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/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0</v>
      </c>
      <c r="T21" s="100">
        <f>SUM(B21:S21)</f>
        <v>11180</v>
      </c>
      <c r="U21" s="110"/>
      <c r="V21" s="110"/>
    </row>
    <row r="22" spans="1:22" s="101" customFormat="1" ht="14.25">
      <c r="A22" s="98">
        <v>122</v>
      </c>
      <c r="B22" s="100">
        <v>0</v>
      </c>
      <c r="C22" s="100">
        <v>3820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/>
      <c r="M22" s="100">
        <v>0</v>
      </c>
      <c r="N22" s="100">
        <v>0</v>
      </c>
      <c r="O22" s="100">
        <v>0</v>
      </c>
      <c r="P22" s="100">
        <v>0</v>
      </c>
      <c r="Q22" s="100">
        <v>0</v>
      </c>
      <c r="R22" s="100">
        <v>0</v>
      </c>
      <c r="S22" s="100">
        <v>0</v>
      </c>
      <c r="T22" s="100">
        <f>SUM(B22:S22)</f>
        <v>3820</v>
      </c>
      <c r="U22" s="110"/>
      <c r="V22" s="110"/>
    </row>
    <row r="23" spans="1:22" s="101" customFormat="1" ht="14.25">
      <c r="A23" s="102" t="s">
        <v>239</v>
      </c>
      <c r="B23" s="100">
        <f>SUM(B21:B22)</f>
        <v>0</v>
      </c>
      <c r="C23" s="100">
        <f>SUM(C21:C22)</f>
        <v>15000</v>
      </c>
      <c r="D23" s="100">
        <f>SUM(D21:D22)</f>
        <v>0</v>
      </c>
      <c r="E23" s="100">
        <f aca="true" t="shared" si="3" ref="E23:S23">SUM(E21:E22)</f>
        <v>0</v>
      </c>
      <c r="F23" s="100">
        <f t="shared" si="3"/>
        <v>0</v>
      </c>
      <c r="G23" s="100">
        <f t="shared" si="3"/>
        <v>0</v>
      </c>
      <c r="H23" s="100">
        <f t="shared" si="3"/>
        <v>0</v>
      </c>
      <c r="I23" s="100">
        <f t="shared" si="3"/>
        <v>0</v>
      </c>
      <c r="J23" s="100">
        <f t="shared" si="3"/>
        <v>0</v>
      </c>
      <c r="K23" s="100">
        <f t="shared" si="3"/>
        <v>0</v>
      </c>
      <c r="L23" s="100"/>
      <c r="M23" s="100">
        <f t="shared" si="3"/>
        <v>0</v>
      </c>
      <c r="N23" s="100">
        <f t="shared" si="3"/>
        <v>0</v>
      </c>
      <c r="O23" s="100">
        <f t="shared" si="3"/>
        <v>0</v>
      </c>
      <c r="P23" s="100">
        <f t="shared" si="3"/>
        <v>0</v>
      </c>
      <c r="Q23" s="100">
        <f t="shared" si="3"/>
        <v>0</v>
      </c>
      <c r="R23" s="100">
        <f t="shared" si="3"/>
        <v>0</v>
      </c>
      <c r="S23" s="100">
        <f t="shared" si="3"/>
        <v>0</v>
      </c>
      <c r="T23" s="100">
        <f>SUM(B23:S23)</f>
        <v>15000</v>
      </c>
      <c r="U23" s="110"/>
      <c r="V23" s="110"/>
    </row>
    <row r="24" spans="1:22" s="101" customFormat="1" ht="14.25">
      <c r="A24" s="102" t="s">
        <v>240</v>
      </c>
      <c r="B24" s="100">
        <v>0</v>
      </c>
      <c r="C24" s="100">
        <f>SUM(15000)</f>
        <v>15000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/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100">
        <v>0</v>
      </c>
      <c r="S24" s="100">
        <v>0</v>
      </c>
      <c r="T24" s="100">
        <f>SUM(B24:S24)</f>
        <v>15000</v>
      </c>
      <c r="U24" s="110"/>
      <c r="V24" s="110"/>
    </row>
    <row r="25" spans="1:22" s="101" customFormat="1" ht="14.25">
      <c r="A25" s="99" t="s">
        <v>244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10"/>
      <c r="V25" s="110"/>
    </row>
    <row r="26" spans="1:22" s="101" customFormat="1" ht="14.25">
      <c r="A26" s="98" t="s">
        <v>245</v>
      </c>
      <c r="B26" s="100">
        <f>SUM(6270)</f>
        <v>6270</v>
      </c>
      <c r="C26" s="100">
        <v>6530</v>
      </c>
      <c r="D26" s="100">
        <v>0</v>
      </c>
      <c r="E26" s="100">
        <v>0</v>
      </c>
      <c r="F26" s="100">
        <f>SUM(140)</f>
        <v>140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6530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0</v>
      </c>
      <c r="T26" s="100">
        <f>SUM(B26:S26)</f>
        <v>19470</v>
      </c>
      <c r="U26" s="110"/>
      <c r="V26" s="110"/>
    </row>
    <row r="27" spans="1:22" s="101" customFormat="1" ht="14.25">
      <c r="A27" s="98">
        <v>132</v>
      </c>
      <c r="B27" s="100">
        <f>SUM(2730)</f>
        <v>2730</v>
      </c>
      <c r="C27" s="100">
        <v>2470</v>
      </c>
      <c r="D27" s="100">
        <v>0</v>
      </c>
      <c r="E27" s="100">
        <v>0</v>
      </c>
      <c r="F27" s="100">
        <f>SUM(5420+440)</f>
        <v>5860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2470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f>SUM(B27:S27)</f>
        <v>13530</v>
      </c>
      <c r="U27" s="110"/>
      <c r="V27" s="110"/>
    </row>
    <row r="28" spans="1:22" s="101" customFormat="1" ht="14.25">
      <c r="A28" s="102" t="s">
        <v>239</v>
      </c>
      <c r="B28" s="100">
        <f>SUM(B26:B27)</f>
        <v>9000</v>
      </c>
      <c r="C28" s="100">
        <f>SUM(C26:C27)</f>
        <v>9000</v>
      </c>
      <c r="D28" s="100">
        <v>0</v>
      </c>
      <c r="E28" s="100">
        <f aca="true" t="shared" si="4" ref="E28:S28">SUM(E26:E27)</f>
        <v>0</v>
      </c>
      <c r="F28" s="100">
        <f>SUM(F26:F27)</f>
        <v>6000</v>
      </c>
      <c r="G28" s="100">
        <f t="shared" si="4"/>
        <v>0</v>
      </c>
      <c r="H28" s="100">
        <f t="shared" si="4"/>
        <v>0</v>
      </c>
      <c r="I28" s="100">
        <f t="shared" si="4"/>
        <v>0</v>
      </c>
      <c r="J28" s="100">
        <f t="shared" si="4"/>
        <v>0</v>
      </c>
      <c r="K28" s="100">
        <f t="shared" si="4"/>
        <v>0</v>
      </c>
      <c r="L28" s="100">
        <f>SUM(L26:L27)</f>
        <v>9000</v>
      </c>
      <c r="M28" s="100">
        <f t="shared" si="4"/>
        <v>0</v>
      </c>
      <c r="N28" s="100">
        <f t="shared" si="4"/>
        <v>0</v>
      </c>
      <c r="O28" s="100">
        <f t="shared" si="4"/>
        <v>0</v>
      </c>
      <c r="P28" s="100">
        <f t="shared" si="4"/>
        <v>0</v>
      </c>
      <c r="Q28" s="100">
        <f t="shared" si="4"/>
        <v>0</v>
      </c>
      <c r="R28" s="100">
        <f t="shared" si="4"/>
        <v>0</v>
      </c>
      <c r="S28" s="100">
        <f t="shared" si="4"/>
        <v>0</v>
      </c>
      <c r="T28" s="100">
        <f>SUM(B28:S28)</f>
        <v>33000</v>
      </c>
      <c r="U28" s="110"/>
      <c r="V28" s="110"/>
    </row>
    <row r="29" spans="1:22" s="101" customFormat="1" ht="14.25">
      <c r="A29" s="102" t="s">
        <v>240</v>
      </c>
      <c r="B29" s="100">
        <f>SUM(9000)</f>
        <v>9000</v>
      </c>
      <c r="C29" s="100">
        <f>SUM(9000)</f>
        <v>9000</v>
      </c>
      <c r="D29" s="100">
        <v>0</v>
      </c>
      <c r="E29" s="100">
        <v>0</v>
      </c>
      <c r="F29" s="100">
        <f>SUM(6000)</f>
        <v>6000</v>
      </c>
      <c r="G29" s="100">
        <v>0</v>
      </c>
      <c r="H29" s="100">
        <v>0</v>
      </c>
      <c r="I29" s="100">
        <v>0</v>
      </c>
      <c r="J29" s="100">
        <v>0</v>
      </c>
      <c r="K29" s="100">
        <v>0</v>
      </c>
      <c r="L29" s="100">
        <f>SUM(9000)</f>
        <v>9000</v>
      </c>
      <c r="M29" s="100">
        <v>0</v>
      </c>
      <c r="N29" s="100">
        <v>0</v>
      </c>
      <c r="O29" s="100">
        <v>0</v>
      </c>
      <c r="P29" s="100">
        <v>0</v>
      </c>
      <c r="Q29" s="100">
        <v>0</v>
      </c>
      <c r="R29" s="100">
        <v>0</v>
      </c>
      <c r="S29" s="100">
        <v>0</v>
      </c>
      <c r="T29" s="100">
        <f>SUM(B29:S29)</f>
        <v>33000</v>
      </c>
      <c r="U29" s="110"/>
      <c r="V29" s="110"/>
    </row>
    <row r="30" spans="1:22" s="101" customFormat="1" ht="14.25">
      <c r="A30" s="99" t="s">
        <v>246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10"/>
      <c r="V30" s="110"/>
    </row>
    <row r="31" spans="1:22" s="101" customFormat="1" ht="14.25">
      <c r="A31" s="98" t="s">
        <v>247</v>
      </c>
      <c r="B31" s="100">
        <f>SUM(157200)</f>
        <v>157200</v>
      </c>
      <c r="C31" s="100">
        <v>0</v>
      </c>
      <c r="D31" s="100">
        <v>0</v>
      </c>
      <c r="E31" s="100">
        <v>0</v>
      </c>
      <c r="F31" s="100">
        <v>0</v>
      </c>
      <c r="G31" s="100">
        <v>0</v>
      </c>
      <c r="H31" s="100">
        <v>0</v>
      </c>
      <c r="I31" s="100">
        <v>0</v>
      </c>
      <c r="J31" s="100">
        <v>0</v>
      </c>
      <c r="K31" s="100">
        <v>0</v>
      </c>
      <c r="L31" s="100"/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0</v>
      </c>
      <c r="T31" s="100">
        <f aca="true" t="shared" si="5" ref="T31:T36">SUM(B31:S31)</f>
        <v>157200</v>
      </c>
      <c r="U31" s="110"/>
      <c r="V31" s="110"/>
    </row>
    <row r="32" spans="1:22" s="101" customFormat="1" ht="14.25">
      <c r="A32" s="98" t="s">
        <v>248</v>
      </c>
      <c r="B32" s="100">
        <v>0</v>
      </c>
      <c r="C32" s="100">
        <v>0</v>
      </c>
      <c r="D32" s="100">
        <v>0</v>
      </c>
      <c r="E32" s="100">
        <v>0</v>
      </c>
      <c r="F32" s="100">
        <v>0</v>
      </c>
      <c r="G32" s="100">
        <v>0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  <c r="R32" s="100">
        <v>0</v>
      </c>
      <c r="S32" s="100">
        <v>0</v>
      </c>
      <c r="T32" s="100">
        <f t="shared" si="5"/>
        <v>0</v>
      </c>
      <c r="U32" s="110"/>
      <c r="V32" s="110"/>
    </row>
    <row r="33" spans="1:22" s="101" customFormat="1" ht="14.25">
      <c r="A33" s="98">
        <v>204</v>
      </c>
      <c r="B33" s="100">
        <v>0</v>
      </c>
      <c r="C33" s="100">
        <v>0</v>
      </c>
      <c r="D33" s="100">
        <v>0</v>
      </c>
      <c r="E33" s="100">
        <v>0</v>
      </c>
      <c r="F33" s="100">
        <v>0</v>
      </c>
      <c r="G33" s="100">
        <v>0</v>
      </c>
      <c r="H33" s="100">
        <v>0</v>
      </c>
      <c r="I33" s="100">
        <v>0</v>
      </c>
      <c r="J33" s="100">
        <v>0</v>
      </c>
      <c r="K33" s="100">
        <v>0</v>
      </c>
      <c r="L33" s="100"/>
      <c r="M33" s="100">
        <v>0</v>
      </c>
      <c r="N33" s="100">
        <v>0</v>
      </c>
      <c r="O33" s="100">
        <v>0</v>
      </c>
      <c r="P33" s="100">
        <v>0</v>
      </c>
      <c r="Q33" s="100">
        <v>0</v>
      </c>
      <c r="R33" s="100">
        <v>0</v>
      </c>
      <c r="S33" s="100">
        <v>0</v>
      </c>
      <c r="T33" s="100">
        <f t="shared" si="5"/>
        <v>0</v>
      </c>
      <c r="U33" s="110"/>
      <c r="V33" s="110"/>
    </row>
    <row r="34" spans="1:22" s="101" customFormat="1" ht="14.25">
      <c r="A34" s="98" t="s">
        <v>249</v>
      </c>
      <c r="B34" s="100">
        <f>SUM(1950+1600+1000+943.55)</f>
        <v>5493.55</v>
      </c>
      <c r="C34" s="100">
        <f>SUM(1250+1250+1000)</f>
        <v>3500</v>
      </c>
      <c r="D34" s="100">
        <v>0</v>
      </c>
      <c r="E34" s="100">
        <v>0</v>
      </c>
      <c r="F34" s="100">
        <f>SUM(2400)</f>
        <v>2400</v>
      </c>
      <c r="G34" s="100">
        <v>0</v>
      </c>
      <c r="H34" s="100">
        <v>0</v>
      </c>
      <c r="I34" s="100">
        <v>0</v>
      </c>
      <c r="J34" s="100">
        <f>SUM(1600)</f>
        <v>1600</v>
      </c>
      <c r="K34" s="100">
        <v>0</v>
      </c>
      <c r="L34" s="100"/>
      <c r="M34" s="100">
        <v>0</v>
      </c>
      <c r="N34" s="100">
        <v>0</v>
      </c>
      <c r="O34" s="100">
        <v>0</v>
      </c>
      <c r="P34" s="100">
        <v>0</v>
      </c>
      <c r="Q34" s="100">
        <f>SUM(2400)</f>
        <v>2400</v>
      </c>
      <c r="R34" s="100">
        <v>0</v>
      </c>
      <c r="S34" s="100">
        <v>0</v>
      </c>
      <c r="T34" s="100">
        <f t="shared" si="5"/>
        <v>15393.55</v>
      </c>
      <c r="U34" s="110"/>
      <c r="V34" s="110"/>
    </row>
    <row r="35" spans="1:22" s="101" customFormat="1" ht="14.25">
      <c r="A35" s="98" t="s">
        <v>250</v>
      </c>
      <c r="B35" s="100">
        <v>0</v>
      </c>
      <c r="C35" s="100">
        <v>0</v>
      </c>
      <c r="D35" s="100">
        <v>0</v>
      </c>
      <c r="E35" s="100">
        <v>0</v>
      </c>
      <c r="F35" s="100">
        <v>0</v>
      </c>
      <c r="G35" s="100">
        <v>0</v>
      </c>
      <c r="H35" s="100">
        <v>0</v>
      </c>
      <c r="I35" s="100">
        <v>0</v>
      </c>
      <c r="J35" s="100">
        <v>0</v>
      </c>
      <c r="K35" s="100">
        <v>0</v>
      </c>
      <c r="L35" s="100"/>
      <c r="M35" s="100">
        <v>0</v>
      </c>
      <c r="N35" s="100">
        <v>0</v>
      </c>
      <c r="O35" s="100">
        <v>0</v>
      </c>
      <c r="P35" s="100">
        <v>0</v>
      </c>
      <c r="Q35" s="100">
        <v>0</v>
      </c>
      <c r="R35" s="100">
        <v>0</v>
      </c>
      <c r="S35" s="100">
        <v>0</v>
      </c>
      <c r="T35" s="100">
        <f t="shared" si="5"/>
        <v>0</v>
      </c>
      <c r="U35" s="110"/>
      <c r="V35" s="110"/>
    </row>
    <row r="36" spans="1:22" s="101" customFormat="1" ht="14.25">
      <c r="A36" s="98" t="s">
        <v>251</v>
      </c>
      <c r="B36" s="100">
        <f>SUM(1149+1970)</f>
        <v>3119</v>
      </c>
      <c r="C36" s="100">
        <v>755</v>
      </c>
      <c r="D36" s="100">
        <v>0</v>
      </c>
      <c r="E36" s="100">
        <v>0</v>
      </c>
      <c r="F36" s="100">
        <f>SUM(2050)</f>
        <v>2050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/>
      <c r="M36" s="100">
        <v>0</v>
      </c>
      <c r="N36" s="100">
        <v>0</v>
      </c>
      <c r="O36" s="100">
        <v>0</v>
      </c>
      <c r="P36" s="100">
        <v>0</v>
      </c>
      <c r="Q36" s="100">
        <v>0</v>
      </c>
      <c r="R36" s="100">
        <v>0</v>
      </c>
      <c r="S36" s="100">
        <v>0</v>
      </c>
      <c r="T36" s="100">
        <f t="shared" si="5"/>
        <v>5924</v>
      </c>
      <c r="U36" s="110"/>
      <c r="V36" s="110"/>
    </row>
    <row r="37" spans="1:22" s="101" customFormat="1" ht="14.25">
      <c r="A37" s="102" t="s">
        <v>239</v>
      </c>
      <c r="B37" s="100">
        <f>SUM(B31:B36)</f>
        <v>165812.55</v>
      </c>
      <c r="C37" s="100">
        <f>SUM(C31:C36)</f>
        <v>4255</v>
      </c>
      <c r="D37" s="100">
        <f>SUM(D31:D36)</f>
        <v>0</v>
      </c>
      <c r="E37" s="100">
        <f>SUM(E31:E36)</f>
        <v>0</v>
      </c>
      <c r="F37" s="100">
        <f>SUM(F31:F36)</f>
        <v>4450</v>
      </c>
      <c r="G37" s="100">
        <f aca="true" t="shared" si="6" ref="G37:R37">SUM(G31:G36)</f>
        <v>0</v>
      </c>
      <c r="H37" s="100">
        <f t="shared" si="6"/>
        <v>0</v>
      </c>
      <c r="I37" s="100">
        <f t="shared" si="6"/>
        <v>0</v>
      </c>
      <c r="J37" s="100">
        <f t="shared" si="6"/>
        <v>1600</v>
      </c>
      <c r="K37" s="100">
        <f t="shared" si="6"/>
        <v>0</v>
      </c>
      <c r="L37" s="100">
        <f>SUM(L31:L36)</f>
        <v>0</v>
      </c>
      <c r="M37" s="100">
        <f t="shared" si="6"/>
        <v>0</v>
      </c>
      <c r="N37" s="100">
        <f t="shared" si="6"/>
        <v>0</v>
      </c>
      <c r="O37" s="100">
        <f t="shared" si="6"/>
        <v>0</v>
      </c>
      <c r="P37" s="100">
        <f t="shared" si="6"/>
        <v>0</v>
      </c>
      <c r="Q37" s="100">
        <f t="shared" si="6"/>
        <v>2400</v>
      </c>
      <c r="R37" s="100">
        <f t="shared" si="6"/>
        <v>0</v>
      </c>
      <c r="S37" s="100">
        <f>SUM(S35:S36)</f>
        <v>0</v>
      </c>
      <c r="T37" s="100">
        <f>SUM(B37:S37)</f>
        <v>178517.55</v>
      </c>
      <c r="U37" s="110"/>
      <c r="V37" s="110"/>
    </row>
    <row r="38" spans="1:22" s="101" customFormat="1" ht="14.25">
      <c r="A38" s="102" t="s">
        <v>240</v>
      </c>
      <c r="B38" s="100">
        <f>SUM(165812.55)</f>
        <v>165812.55</v>
      </c>
      <c r="C38" s="100">
        <f>SUM(4255)</f>
        <v>4255</v>
      </c>
      <c r="D38" s="100">
        <v>0</v>
      </c>
      <c r="E38" s="100">
        <v>0</v>
      </c>
      <c r="F38" s="100">
        <f>SUM(4450)</f>
        <v>4450</v>
      </c>
      <c r="G38" s="100">
        <v>0</v>
      </c>
      <c r="H38" s="100">
        <v>0</v>
      </c>
      <c r="I38" s="100">
        <v>0</v>
      </c>
      <c r="J38" s="100">
        <f>SUM(1600)</f>
        <v>1600</v>
      </c>
      <c r="K38" s="100">
        <v>0</v>
      </c>
      <c r="L38" s="100">
        <f>SUM(0)</f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f>SUM(2400)</f>
        <v>2400</v>
      </c>
      <c r="R38" s="100">
        <v>0</v>
      </c>
      <c r="S38" s="100">
        <v>0</v>
      </c>
      <c r="T38" s="100">
        <f>SUM(B38:S38)</f>
        <v>178517.55</v>
      </c>
      <c r="U38" s="110"/>
      <c r="V38" s="110"/>
    </row>
    <row r="39" spans="1:22" s="101" customFormat="1" ht="14.25">
      <c r="A39" s="103"/>
      <c r="B39" s="104"/>
      <c r="C39" s="104">
        <v>0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10"/>
      <c r="V39" s="110"/>
    </row>
    <row r="40" spans="1:22" s="101" customFormat="1" ht="14.25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10"/>
      <c r="V40" s="110"/>
    </row>
    <row r="41" spans="1:22" s="101" customFormat="1" ht="14.25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10"/>
      <c r="V41" s="110"/>
    </row>
    <row r="42" spans="1:20" ht="16.5">
      <c r="A42" s="258" t="s">
        <v>18</v>
      </c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</row>
    <row r="43" spans="1:20" ht="16.5">
      <c r="A43" s="94" t="s">
        <v>207</v>
      </c>
      <c r="B43" s="259" t="s">
        <v>208</v>
      </c>
      <c r="C43" s="260"/>
      <c r="D43" s="259" t="s">
        <v>209</v>
      </c>
      <c r="E43" s="260"/>
      <c r="F43" s="259" t="s">
        <v>210</v>
      </c>
      <c r="G43" s="260"/>
      <c r="H43" s="95" t="s">
        <v>211</v>
      </c>
      <c r="I43" s="98" t="s">
        <v>212</v>
      </c>
      <c r="J43" s="259" t="s">
        <v>213</v>
      </c>
      <c r="K43" s="260"/>
      <c r="L43" s="259" t="s">
        <v>214</v>
      </c>
      <c r="M43" s="260"/>
      <c r="N43" s="259" t="s">
        <v>215</v>
      </c>
      <c r="O43" s="260"/>
      <c r="P43" s="96"/>
      <c r="Q43" s="259" t="s">
        <v>216</v>
      </c>
      <c r="R43" s="260"/>
      <c r="S43" s="11" t="s">
        <v>217</v>
      </c>
      <c r="T43" s="231" t="s">
        <v>218</v>
      </c>
    </row>
    <row r="44" spans="1:20" ht="16.5">
      <c r="A44" s="97" t="s">
        <v>85</v>
      </c>
      <c r="B44" s="98" t="s">
        <v>219</v>
      </c>
      <c r="C44" s="11" t="s">
        <v>220</v>
      </c>
      <c r="D44" s="11" t="s">
        <v>221</v>
      </c>
      <c r="E44" s="11" t="s">
        <v>222</v>
      </c>
      <c r="F44" s="11" t="s">
        <v>223</v>
      </c>
      <c r="G44" s="11" t="s">
        <v>224</v>
      </c>
      <c r="H44" s="11" t="s">
        <v>225</v>
      </c>
      <c r="I44" s="98" t="s">
        <v>226</v>
      </c>
      <c r="J44" s="11" t="s">
        <v>227</v>
      </c>
      <c r="K44" s="11" t="s">
        <v>228</v>
      </c>
      <c r="L44" s="11" t="s">
        <v>335</v>
      </c>
      <c r="M44" s="11" t="s">
        <v>229</v>
      </c>
      <c r="N44" s="11" t="s">
        <v>230</v>
      </c>
      <c r="O44" s="11" t="s">
        <v>231</v>
      </c>
      <c r="P44" s="98" t="s">
        <v>232</v>
      </c>
      <c r="Q44" s="11" t="s">
        <v>233</v>
      </c>
      <c r="R44" s="11" t="s">
        <v>234</v>
      </c>
      <c r="S44" s="11" t="s">
        <v>235</v>
      </c>
      <c r="T44" s="232"/>
    </row>
    <row r="45" spans="1:22" s="101" customFormat="1" ht="14.25">
      <c r="A45" s="99" t="s">
        <v>252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10"/>
      <c r="V45" s="110"/>
    </row>
    <row r="46" spans="1:22" s="101" customFormat="1" ht="14.25">
      <c r="A46" s="98">
        <v>251</v>
      </c>
      <c r="B46" s="100">
        <v>0</v>
      </c>
      <c r="C46" s="100">
        <v>0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/>
      <c r="M46" s="100">
        <v>0</v>
      </c>
      <c r="N46" s="100">
        <v>0</v>
      </c>
      <c r="O46" s="100">
        <v>0</v>
      </c>
      <c r="P46" s="100">
        <v>0</v>
      </c>
      <c r="Q46" s="100">
        <v>0</v>
      </c>
      <c r="R46" s="100">
        <v>0</v>
      </c>
      <c r="S46" s="100">
        <v>0</v>
      </c>
      <c r="T46" s="100">
        <f aca="true" t="shared" si="7" ref="T46:T51">SUM(B46:S46)</f>
        <v>0</v>
      </c>
      <c r="U46" s="110"/>
      <c r="V46" s="110"/>
    </row>
    <row r="47" spans="1:22" s="101" customFormat="1" ht="14.25">
      <c r="A47" s="98" t="s">
        <v>253</v>
      </c>
      <c r="B47" s="100">
        <v>0</v>
      </c>
      <c r="C47" s="100">
        <v>0</v>
      </c>
      <c r="D47" s="100">
        <v>0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0"/>
      <c r="K47" s="100">
        <v>0</v>
      </c>
      <c r="L47" s="100"/>
      <c r="M47" s="100">
        <v>0</v>
      </c>
      <c r="N47" s="100">
        <v>0</v>
      </c>
      <c r="O47" s="100">
        <v>0</v>
      </c>
      <c r="P47" s="100">
        <v>0</v>
      </c>
      <c r="Q47" s="100">
        <v>0</v>
      </c>
      <c r="R47" s="100">
        <v>0</v>
      </c>
      <c r="S47" s="100">
        <v>0</v>
      </c>
      <c r="T47" s="100">
        <f t="shared" si="7"/>
        <v>0</v>
      </c>
      <c r="U47" s="110"/>
      <c r="V47" s="110"/>
    </row>
    <row r="48" spans="1:22" s="101" customFormat="1" ht="14.25">
      <c r="A48" s="98" t="s">
        <v>254</v>
      </c>
      <c r="B48" s="100">
        <v>0</v>
      </c>
      <c r="C48" s="100">
        <v>0</v>
      </c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100"/>
      <c r="M48" s="100">
        <v>0</v>
      </c>
      <c r="N48" s="100">
        <v>0</v>
      </c>
      <c r="O48" s="100">
        <v>0</v>
      </c>
      <c r="P48" s="100">
        <v>0</v>
      </c>
      <c r="Q48" s="100">
        <v>0</v>
      </c>
      <c r="R48" s="100">
        <v>0</v>
      </c>
      <c r="S48" s="100">
        <v>0</v>
      </c>
      <c r="T48" s="100">
        <f t="shared" si="7"/>
        <v>0</v>
      </c>
      <c r="U48" s="110"/>
      <c r="V48" s="110"/>
    </row>
    <row r="49" spans="1:22" s="101" customFormat="1" ht="14.25">
      <c r="A49" s="98" t="s">
        <v>255</v>
      </c>
      <c r="B49" s="100">
        <f>SUM(24400+3000+3000+3000+32300)</f>
        <v>65700</v>
      </c>
      <c r="C49" s="100">
        <f>SUM(9400+5900+5900+32300)</f>
        <v>53500</v>
      </c>
      <c r="D49" s="100">
        <v>0</v>
      </c>
      <c r="E49" s="100">
        <v>0</v>
      </c>
      <c r="F49" s="100">
        <v>0</v>
      </c>
      <c r="G49" s="100">
        <f>SUM(81760+59834)</f>
        <v>141594</v>
      </c>
      <c r="H49" s="100">
        <v>0</v>
      </c>
      <c r="I49" s="100">
        <v>0</v>
      </c>
      <c r="J49" s="100">
        <f>SUM(9400)</f>
        <v>9400</v>
      </c>
      <c r="K49" s="100">
        <v>0</v>
      </c>
      <c r="L49" s="100"/>
      <c r="M49" s="100">
        <v>0</v>
      </c>
      <c r="N49" s="100">
        <v>0</v>
      </c>
      <c r="O49" s="100">
        <v>0</v>
      </c>
      <c r="P49" s="100">
        <v>0</v>
      </c>
      <c r="Q49" s="100">
        <v>0</v>
      </c>
      <c r="R49" s="100">
        <v>0</v>
      </c>
      <c r="S49" s="100">
        <v>0</v>
      </c>
      <c r="T49" s="100">
        <f t="shared" si="7"/>
        <v>270194</v>
      </c>
      <c r="U49" s="110"/>
      <c r="V49" s="110"/>
    </row>
    <row r="50" spans="1:22" s="101" customFormat="1" ht="14.25">
      <c r="A50" s="102" t="s">
        <v>239</v>
      </c>
      <c r="B50" s="100">
        <f>SUM(B46:B49)</f>
        <v>65700</v>
      </c>
      <c r="C50" s="100">
        <f>SUM(C46:C49)</f>
        <v>53500</v>
      </c>
      <c r="D50" s="100">
        <f>SUM(D46:D49)</f>
        <v>0</v>
      </c>
      <c r="E50" s="100">
        <f>SUM(E46:E49)</f>
        <v>0</v>
      </c>
      <c r="F50" s="100">
        <v>0</v>
      </c>
      <c r="G50" s="100">
        <f aca="true" t="shared" si="8" ref="G50:L50">SUM(G46:G49)</f>
        <v>141594</v>
      </c>
      <c r="H50" s="100">
        <f t="shared" si="8"/>
        <v>0</v>
      </c>
      <c r="I50" s="100">
        <f t="shared" si="8"/>
        <v>0</v>
      </c>
      <c r="J50" s="100">
        <f t="shared" si="8"/>
        <v>9400</v>
      </c>
      <c r="K50" s="100">
        <f t="shared" si="8"/>
        <v>0</v>
      </c>
      <c r="L50" s="100">
        <f t="shared" si="8"/>
        <v>0</v>
      </c>
      <c r="M50" s="100">
        <f>SUM(M46:M49)</f>
        <v>0</v>
      </c>
      <c r="N50" s="100">
        <f aca="true" t="shared" si="9" ref="N50:S50">SUM(N46:N49)</f>
        <v>0</v>
      </c>
      <c r="O50" s="100">
        <f t="shared" si="9"/>
        <v>0</v>
      </c>
      <c r="P50" s="100">
        <f t="shared" si="9"/>
        <v>0</v>
      </c>
      <c r="Q50" s="100">
        <f>SUM(Q46:Q49)</f>
        <v>0</v>
      </c>
      <c r="R50" s="100">
        <v>0</v>
      </c>
      <c r="S50" s="100">
        <f t="shared" si="9"/>
        <v>0</v>
      </c>
      <c r="T50" s="100">
        <f>SUM(B50:S50)</f>
        <v>270194</v>
      </c>
      <c r="U50" s="110"/>
      <c r="V50" s="110"/>
    </row>
    <row r="51" spans="1:22" s="101" customFormat="1" ht="14.25">
      <c r="A51" s="102" t="s">
        <v>240</v>
      </c>
      <c r="B51" s="100">
        <f>SUM(65700)</f>
        <v>65700</v>
      </c>
      <c r="C51" s="100">
        <f>SUM(53500)</f>
        <v>53500</v>
      </c>
      <c r="D51" s="100">
        <v>0</v>
      </c>
      <c r="E51" s="100">
        <v>0</v>
      </c>
      <c r="F51" s="100">
        <v>0</v>
      </c>
      <c r="G51" s="100">
        <f>SUM(141594)</f>
        <v>141594</v>
      </c>
      <c r="H51" s="100">
        <v>0</v>
      </c>
      <c r="I51" s="100">
        <v>0</v>
      </c>
      <c r="J51" s="100">
        <f>SUM(9400)</f>
        <v>9400</v>
      </c>
      <c r="K51" s="100">
        <v>0</v>
      </c>
      <c r="L51" s="100">
        <f>SUM(0)</f>
        <v>0</v>
      </c>
      <c r="M51" s="100">
        <v>0</v>
      </c>
      <c r="N51" s="100">
        <v>0</v>
      </c>
      <c r="O51" s="100">
        <v>0</v>
      </c>
      <c r="P51" s="100">
        <v>0</v>
      </c>
      <c r="Q51" s="100">
        <f>SUM(0)</f>
        <v>0</v>
      </c>
      <c r="R51" s="100">
        <v>0</v>
      </c>
      <c r="S51" s="100">
        <v>0</v>
      </c>
      <c r="T51" s="100">
        <f t="shared" si="7"/>
        <v>270194</v>
      </c>
      <c r="U51" s="110"/>
      <c r="V51" s="110"/>
    </row>
    <row r="52" spans="1:22" s="101" customFormat="1" ht="14.25">
      <c r="A52" s="99" t="s">
        <v>256</v>
      </c>
      <c r="B52" s="100"/>
      <c r="C52" s="100">
        <v>0</v>
      </c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10"/>
      <c r="V52" s="110"/>
    </row>
    <row r="53" spans="1:22" s="101" customFormat="1" ht="14.25">
      <c r="A53" s="98" t="s">
        <v>257</v>
      </c>
      <c r="B53" s="100">
        <v>0</v>
      </c>
      <c r="C53" s="100">
        <v>0</v>
      </c>
      <c r="D53" s="100">
        <v>0</v>
      </c>
      <c r="E53" s="100">
        <v>0</v>
      </c>
      <c r="F53" s="100">
        <v>0</v>
      </c>
      <c r="G53" s="100"/>
      <c r="H53" s="100">
        <v>0</v>
      </c>
      <c r="I53" s="100">
        <v>0</v>
      </c>
      <c r="J53" s="100">
        <v>0</v>
      </c>
      <c r="K53" s="100">
        <v>0</v>
      </c>
      <c r="L53" s="100"/>
      <c r="M53" s="100">
        <v>0</v>
      </c>
      <c r="N53" s="100">
        <v>0</v>
      </c>
      <c r="O53" s="100">
        <v>0</v>
      </c>
      <c r="P53" s="100">
        <v>0</v>
      </c>
      <c r="Q53" s="100">
        <v>0</v>
      </c>
      <c r="R53" s="100">
        <v>0</v>
      </c>
      <c r="S53" s="100">
        <v>0</v>
      </c>
      <c r="T53" s="100">
        <f aca="true" t="shared" si="10" ref="T53:T59">SUM(B53:S53)</f>
        <v>0</v>
      </c>
      <c r="U53" s="110"/>
      <c r="V53" s="110"/>
    </row>
    <row r="54" spans="1:22" s="101" customFormat="1" ht="14.25">
      <c r="A54" s="98" t="s">
        <v>258</v>
      </c>
      <c r="B54" s="100">
        <v>0</v>
      </c>
      <c r="C54" s="100">
        <v>0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100">
        <v>0</v>
      </c>
      <c r="L54" s="100"/>
      <c r="M54" s="100">
        <v>0</v>
      </c>
      <c r="N54" s="100">
        <v>0</v>
      </c>
      <c r="O54" s="100">
        <v>0</v>
      </c>
      <c r="P54" s="100">
        <v>0</v>
      </c>
      <c r="Q54" s="100">
        <v>0</v>
      </c>
      <c r="R54" s="100">
        <v>0</v>
      </c>
      <c r="S54" s="100">
        <v>0</v>
      </c>
      <c r="T54" s="100">
        <f t="shared" si="10"/>
        <v>0</v>
      </c>
      <c r="U54" s="110"/>
      <c r="V54" s="110"/>
    </row>
    <row r="55" spans="1:22" s="101" customFormat="1" ht="14.25">
      <c r="A55" s="98" t="s">
        <v>259</v>
      </c>
      <c r="B55" s="100">
        <v>0</v>
      </c>
      <c r="C55" s="100">
        <v>0</v>
      </c>
      <c r="D55" s="100">
        <v>0</v>
      </c>
      <c r="E55" s="100">
        <v>0</v>
      </c>
      <c r="F55" s="100">
        <v>0</v>
      </c>
      <c r="G55" s="100">
        <v>0</v>
      </c>
      <c r="H55" s="100">
        <v>0</v>
      </c>
      <c r="I55" s="100">
        <v>0</v>
      </c>
      <c r="J55" s="100">
        <v>0</v>
      </c>
      <c r="K55" s="100">
        <v>0</v>
      </c>
      <c r="L55" s="100"/>
      <c r="M55" s="100">
        <v>0</v>
      </c>
      <c r="N55" s="100">
        <v>0</v>
      </c>
      <c r="O55" s="100">
        <v>0</v>
      </c>
      <c r="P55" s="100">
        <v>0</v>
      </c>
      <c r="Q55" s="100">
        <v>0</v>
      </c>
      <c r="R55" s="100">
        <v>0</v>
      </c>
      <c r="S55" s="100">
        <v>0</v>
      </c>
      <c r="T55" s="100">
        <f t="shared" si="10"/>
        <v>0</v>
      </c>
      <c r="U55" s="110"/>
      <c r="V55" s="110"/>
    </row>
    <row r="56" spans="1:22" s="101" customFormat="1" ht="14.25">
      <c r="A56" s="98">
        <v>276</v>
      </c>
      <c r="B56" s="100">
        <v>0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>
        <f>SUM(B56:S56)</f>
        <v>0</v>
      </c>
      <c r="U56" s="110"/>
      <c r="V56" s="110"/>
    </row>
    <row r="57" spans="1:22" s="101" customFormat="1" ht="14.25">
      <c r="A57" s="98" t="s">
        <v>260</v>
      </c>
      <c r="B57" s="100">
        <v>0</v>
      </c>
      <c r="C57" s="100">
        <v>0</v>
      </c>
      <c r="D57" s="100">
        <v>0</v>
      </c>
      <c r="E57" s="100">
        <v>0</v>
      </c>
      <c r="F57" s="100">
        <v>0</v>
      </c>
      <c r="G57" s="100">
        <v>0</v>
      </c>
      <c r="H57" s="100">
        <v>0</v>
      </c>
      <c r="I57" s="100">
        <v>0</v>
      </c>
      <c r="J57" s="100">
        <v>0</v>
      </c>
      <c r="K57" s="100">
        <v>0</v>
      </c>
      <c r="L57" s="100"/>
      <c r="M57" s="100">
        <v>0</v>
      </c>
      <c r="N57" s="100">
        <v>0</v>
      </c>
      <c r="O57" s="100">
        <v>0</v>
      </c>
      <c r="P57" s="100">
        <v>0</v>
      </c>
      <c r="Q57" s="100">
        <v>0</v>
      </c>
      <c r="R57" s="100">
        <v>0</v>
      </c>
      <c r="S57" s="100">
        <v>0</v>
      </c>
      <c r="T57" s="100">
        <f t="shared" si="10"/>
        <v>0</v>
      </c>
      <c r="U57" s="110"/>
      <c r="V57" s="110"/>
    </row>
    <row r="58" spans="1:22" s="101" customFormat="1" ht="14.25">
      <c r="A58" s="98">
        <v>281</v>
      </c>
      <c r="B58" s="100">
        <v>0</v>
      </c>
      <c r="C58" s="100">
        <v>0</v>
      </c>
      <c r="D58" s="100">
        <v>0</v>
      </c>
      <c r="E58" s="100">
        <v>0</v>
      </c>
      <c r="F58" s="100">
        <v>0</v>
      </c>
      <c r="G58" s="100">
        <v>0</v>
      </c>
      <c r="H58" s="100">
        <v>0</v>
      </c>
      <c r="I58" s="100">
        <v>0</v>
      </c>
      <c r="J58" s="100">
        <v>0</v>
      </c>
      <c r="K58" s="100">
        <v>0</v>
      </c>
      <c r="L58" s="100"/>
      <c r="M58" s="100">
        <v>0</v>
      </c>
      <c r="N58" s="100">
        <v>0</v>
      </c>
      <c r="O58" s="100">
        <v>0</v>
      </c>
      <c r="P58" s="100">
        <v>0</v>
      </c>
      <c r="Q58" s="100">
        <v>0</v>
      </c>
      <c r="R58" s="100">
        <v>0</v>
      </c>
      <c r="S58" s="100">
        <v>0</v>
      </c>
      <c r="T58" s="100">
        <f>SUM(B58:S58)</f>
        <v>0</v>
      </c>
      <c r="U58" s="110"/>
      <c r="V58" s="110"/>
    </row>
    <row r="59" spans="1:22" s="101" customFormat="1" ht="14.25">
      <c r="A59" s="98" t="s">
        <v>261</v>
      </c>
      <c r="B59" s="100">
        <v>0</v>
      </c>
      <c r="C59" s="100">
        <v>0</v>
      </c>
      <c r="D59" s="100">
        <v>0</v>
      </c>
      <c r="E59" s="100">
        <v>0</v>
      </c>
      <c r="F59" s="100">
        <v>0</v>
      </c>
      <c r="G59" s="100">
        <v>0</v>
      </c>
      <c r="H59" s="100">
        <v>0</v>
      </c>
      <c r="I59" s="100">
        <v>0</v>
      </c>
      <c r="J59" s="100">
        <v>0</v>
      </c>
      <c r="K59" s="100">
        <v>0</v>
      </c>
      <c r="L59" s="100"/>
      <c r="M59" s="100">
        <v>0</v>
      </c>
      <c r="N59" s="100">
        <v>0</v>
      </c>
      <c r="O59" s="100">
        <v>0</v>
      </c>
      <c r="P59" s="100">
        <v>0</v>
      </c>
      <c r="Q59" s="100">
        <v>0</v>
      </c>
      <c r="R59" s="100">
        <v>0</v>
      </c>
      <c r="S59" s="100">
        <v>0</v>
      </c>
      <c r="T59" s="100">
        <f t="shared" si="10"/>
        <v>0</v>
      </c>
      <c r="U59" s="110"/>
      <c r="V59" s="110"/>
    </row>
    <row r="60" spans="1:22" s="101" customFormat="1" ht="14.25">
      <c r="A60" s="102" t="s">
        <v>239</v>
      </c>
      <c r="B60" s="100">
        <f>SUM(B53:B59)</f>
        <v>0</v>
      </c>
      <c r="C60" s="100">
        <f>SUM(C53:C59)</f>
        <v>0</v>
      </c>
      <c r="D60" s="100">
        <f>SUM(D53:D59)</f>
        <v>0</v>
      </c>
      <c r="E60" s="100">
        <f aca="true" t="shared" si="11" ref="E60:O60">SUM(E53:E59)</f>
        <v>0</v>
      </c>
      <c r="F60" s="100">
        <f>SUM(F53:F59)</f>
        <v>0</v>
      </c>
      <c r="G60" s="100">
        <f>SUM(G53:G59)</f>
        <v>0</v>
      </c>
      <c r="H60" s="100">
        <f t="shared" si="11"/>
        <v>0</v>
      </c>
      <c r="I60" s="100">
        <f t="shared" si="11"/>
        <v>0</v>
      </c>
      <c r="J60" s="100">
        <f>SUM(J53:J59)</f>
        <v>0</v>
      </c>
      <c r="K60" s="100">
        <f t="shared" si="11"/>
        <v>0</v>
      </c>
      <c r="L60" s="100">
        <f>SUM(L53:L59)</f>
        <v>0</v>
      </c>
      <c r="M60" s="100">
        <f t="shared" si="11"/>
        <v>0</v>
      </c>
      <c r="N60" s="100">
        <f t="shared" si="11"/>
        <v>0</v>
      </c>
      <c r="O60" s="100">
        <f t="shared" si="11"/>
        <v>0</v>
      </c>
      <c r="P60" s="100">
        <f>SUM(P53:P59)</f>
        <v>0</v>
      </c>
      <c r="Q60" s="100">
        <f>SUM(Q53:Q59)</f>
        <v>0</v>
      </c>
      <c r="R60" s="100">
        <f>SUM(R53:R59)</f>
        <v>0</v>
      </c>
      <c r="S60" s="100">
        <f>SUM(S57:S59)</f>
        <v>0</v>
      </c>
      <c r="T60" s="100">
        <f>SUM(B60:S60)</f>
        <v>0</v>
      </c>
      <c r="U60" s="110"/>
      <c r="V60" s="110"/>
    </row>
    <row r="61" spans="1:22" s="101" customFormat="1" ht="14.25">
      <c r="A61" s="102" t="s">
        <v>240</v>
      </c>
      <c r="B61" s="100">
        <v>0</v>
      </c>
      <c r="C61" s="100">
        <v>0</v>
      </c>
      <c r="D61" s="100">
        <v>0</v>
      </c>
      <c r="E61" s="100">
        <v>0</v>
      </c>
      <c r="F61" s="100">
        <v>0</v>
      </c>
      <c r="G61" s="100">
        <v>0</v>
      </c>
      <c r="H61" s="100">
        <v>0</v>
      </c>
      <c r="I61" s="100">
        <v>0</v>
      </c>
      <c r="J61" s="100">
        <v>0</v>
      </c>
      <c r="K61" s="100">
        <v>0</v>
      </c>
      <c r="L61" s="100">
        <f>SUM(0)</f>
        <v>0</v>
      </c>
      <c r="M61" s="100">
        <v>0</v>
      </c>
      <c r="N61" s="100">
        <v>0</v>
      </c>
      <c r="O61" s="100">
        <v>0</v>
      </c>
      <c r="P61" s="100">
        <v>0</v>
      </c>
      <c r="Q61" s="100">
        <v>0</v>
      </c>
      <c r="R61" s="100">
        <v>0</v>
      </c>
      <c r="S61" s="100">
        <v>0</v>
      </c>
      <c r="T61" s="100">
        <f>SUM(B61:S61)</f>
        <v>0</v>
      </c>
      <c r="U61" s="110"/>
      <c r="V61" s="110"/>
    </row>
    <row r="62" spans="1:22" s="101" customFormat="1" ht="14.25">
      <c r="A62" s="99" t="s">
        <v>262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10"/>
      <c r="V62" s="110"/>
    </row>
    <row r="63" spans="1:22" s="101" customFormat="1" ht="14.25">
      <c r="A63" s="98" t="s">
        <v>263</v>
      </c>
      <c r="B63" s="100">
        <v>0</v>
      </c>
      <c r="C63" s="100">
        <v>0</v>
      </c>
      <c r="D63" s="100">
        <v>0</v>
      </c>
      <c r="E63" s="100">
        <v>0</v>
      </c>
      <c r="F63" s="100">
        <v>0</v>
      </c>
      <c r="G63" s="100">
        <v>0</v>
      </c>
      <c r="H63" s="100">
        <v>0</v>
      </c>
      <c r="I63" s="100">
        <v>0</v>
      </c>
      <c r="J63" s="100">
        <v>0</v>
      </c>
      <c r="K63" s="100">
        <v>0</v>
      </c>
      <c r="L63" s="100"/>
      <c r="M63" s="100">
        <v>0</v>
      </c>
      <c r="N63" s="100">
        <v>0</v>
      </c>
      <c r="O63" s="100">
        <v>0</v>
      </c>
      <c r="P63" s="100">
        <v>0</v>
      </c>
      <c r="Q63" s="100">
        <v>0</v>
      </c>
      <c r="R63" s="100">
        <v>0</v>
      </c>
      <c r="S63" s="100">
        <v>0</v>
      </c>
      <c r="T63" s="100">
        <f>SUM(B63:S63)</f>
        <v>0</v>
      </c>
      <c r="U63" s="110"/>
      <c r="V63" s="110"/>
    </row>
    <row r="64" spans="1:22" s="101" customFormat="1" ht="14.25">
      <c r="A64" s="98">
        <v>304</v>
      </c>
      <c r="B64" s="100">
        <v>0</v>
      </c>
      <c r="C64" s="100">
        <v>0</v>
      </c>
      <c r="D64" s="100">
        <v>0</v>
      </c>
      <c r="E64" s="100">
        <v>0</v>
      </c>
      <c r="F64" s="100">
        <v>0</v>
      </c>
      <c r="G64" s="100">
        <v>0</v>
      </c>
      <c r="H64" s="100">
        <v>0</v>
      </c>
      <c r="I64" s="100">
        <v>0</v>
      </c>
      <c r="J64" s="100">
        <v>0</v>
      </c>
      <c r="K64" s="100">
        <v>0</v>
      </c>
      <c r="L64" s="100"/>
      <c r="M64" s="100">
        <v>0</v>
      </c>
      <c r="N64" s="100">
        <v>0</v>
      </c>
      <c r="O64" s="100">
        <v>0</v>
      </c>
      <c r="P64" s="100">
        <v>0</v>
      </c>
      <c r="Q64" s="100">
        <v>0</v>
      </c>
      <c r="R64" s="100">
        <v>0</v>
      </c>
      <c r="S64" s="100">
        <v>0</v>
      </c>
      <c r="T64" s="100"/>
      <c r="U64" s="110"/>
      <c r="V64" s="110"/>
    </row>
    <row r="65" spans="1:22" s="101" customFormat="1" ht="14.25">
      <c r="A65" s="98" t="s">
        <v>264</v>
      </c>
      <c r="B65" s="100">
        <f>SUM(6500+7000)</f>
        <v>13500</v>
      </c>
      <c r="C65" s="100">
        <v>0</v>
      </c>
      <c r="D65" s="100">
        <v>0</v>
      </c>
      <c r="E65" s="100">
        <v>0</v>
      </c>
      <c r="F65" s="100">
        <v>0</v>
      </c>
      <c r="G65" s="100">
        <v>0</v>
      </c>
      <c r="H65" s="100">
        <v>0</v>
      </c>
      <c r="I65" s="100">
        <v>0</v>
      </c>
      <c r="J65" s="100">
        <v>0</v>
      </c>
      <c r="K65" s="100">
        <v>0</v>
      </c>
      <c r="L65" s="100"/>
      <c r="M65" s="100">
        <v>0</v>
      </c>
      <c r="N65" s="100">
        <v>0</v>
      </c>
      <c r="O65" s="100">
        <v>0</v>
      </c>
      <c r="P65" s="100">
        <v>0</v>
      </c>
      <c r="Q65" s="100">
        <v>0</v>
      </c>
      <c r="R65" s="100">
        <v>0</v>
      </c>
      <c r="S65" s="100">
        <v>0</v>
      </c>
      <c r="T65" s="100">
        <f>SUM(B65:S65)</f>
        <v>13500</v>
      </c>
      <c r="U65" s="110"/>
      <c r="V65" s="110"/>
    </row>
    <row r="66" spans="1:22" s="101" customFormat="1" ht="14.25">
      <c r="A66" s="102" t="s">
        <v>239</v>
      </c>
      <c r="B66" s="100">
        <f>SUM(B63:B65)</f>
        <v>13500</v>
      </c>
      <c r="C66" s="100">
        <f aca="true" t="shared" si="12" ref="C66:O66">SUM(C63:C65)</f>
        <v>0</v>
      </c>
      <c r="D66" s="100">
        <f t="shared" si="12"/>
        <v>0</v>
      </c>
      <c r="E66" s="100">
        <f t="shared" si="12"/>
        <v>0</v>
      </c>
      <c r="F66" s="100">
        <f t="shared" si="12"/>
        <v>0</v>
      </c>
      <c r="G66" s="100">
        <f t="shared" si="12"/>
        <v>0</v>
      </c>
      <c r="H66" s="100"/>
      <c r="I66" s="100">
        <f t="shared" si="12"/>
        <v>0</v>
      </c>
      <c r="J66" s="100">
        <f t="shared" si="12"/>
        <v>0</v>
      </c>
      <c r="K66" s="100">
        <f t="shared" si="12"/>
        <v>0</v>
      </c>
      <c r="L66" s="100">
        <f>SUM(L63:L65)</f>
        <v>0</v>
      </c>
      <c r="M66" s="100">
        <f t="shared" si="12"/>
        <v>0</v>
      </c>
      <c r="N66" s="100">
        <f t="shared" si="12"/>
        <v>0</v>
      </c>
      <c r="O66" s="100">
        <f t="shared" si="12"/>
        <v>0</v>
      </c>
      <c r="P66" s="100">
        <f>SUM(P63:P65)</f>
        <v>0</v>
      </c>
      <c r="Q66" s="100">
        <f>SUM(Q63:Q65)</f>
        <v>0</v>
      </c>
      <c r="R66" s="100">
        <f>SUM(R63:R65)</f>
        <v>0</v>
      </c>
      <c r="S66" s="100">
        <f>SUM(S63:S65)</f>
        <v>0</v>
      </c>
      <c r="T66" s="100">
        <f>SUM(B66:S66)</f>
        <v>13500</v>
      </c>
      <c r="U66" s="110"/>
      <c r="V66" s="110"/>
    </row>
    <row r="67" spans="1:22" s="101" customFormat="1" ht="14.25">
      <c r="A67" s="102" t="s">
        <v>240</v>
      </c>
      <c r="B67" s="100">
        <f>SUM(13500)</f>
        <v>13500</v>
      </c>
      <c r="C67" s="100">
        <v>0</v>
      </c>
      <c r="D67" s="100">
        <v>0</v>
      </c>
      <c r="E67" s="100">
        <v>0</v>
      </c>
      <c r="F67" s="100">
        <v>0</v>
      </c>
      <c r="G67" s="100">
        <v>0</v>
      </c>
      <c r="H67" s="100"/>
      <c r="I67" s="100">
        <v>0</v>
      </c>
      <c r="J67" s="100">
        <v>0</v>
      </c>
      <c r="K67" s="100">
        <v>0</v>
      </c>
      <c r="L67" s="100">
        <v>0</v>
      </c>
      <c r="M67" s="100">
        <v>0</v>
      </c>
      <c r="N67" s="100">
        <v>0</v>
      </c>
      <c r="O67" s="100">
        <v>0</v>
      </c>
      <c r="P67" s="100">
        <v>0</v>
      </c>
      <c r="Q67" s="100">
        <v>0</v>
      </c>
      <c r="R67" s="100">
        <v>0</v>
      </c>
      <c r="S67" s="100">
        <v>0</v>
      </c>
      <c r="T67" s="100">
        <f>SUM(B67:S67)</f>
        <v>13500</v>
      </c>
      <c r="U67" s="110"/>
      <c r="V67" s="110"/>
    </row>
    <row r="68" spans="1:22" s="101" customFormat="1" ht="14.25">
      <c r="A68" s="99" t="s">
        <v>265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10"/>
      <c r="V68" s="110"/>
    </row>
    <row r="69" spans="1:22" s="101" customFormat="1" ht="14.25">
      <c r="A69" s="98" t="s">
        <v>266</v>
      </c>
      <c r="B69" s="100">
        <v>0</v>
      </c>
      <c r="C69" s="100">
        <v>0</v>
      </c>
      <c r="D69" s="100">
        <v>0</v>
      </c>
      <c r="E69" s="100">
        <v>0</v>
      </c>
      <c r="F69" s="100">
        <v>0</v>
      </c>
      <c r="G69" s="100">
        <v>0</v>
      </c>
      <c r="H69" s="100">
        <v>0</v>
      </c>
      <c r="I69" s="100">
        <v>0</v>
      </c>
      <c r="J69" s="100">
        <v>0</v>
      </c>
      <c r="K69" s="100">
        <v>0</v>
      </c>
      <c r="L69" s="100"/>
      <c r="M69" s="100">
        <v>0</v>
      </c>
      <c r="N69" s="100">
        <v>0</v>
      </c>
      <c r="O69" s="100">
        <v>0</v>
      </c>
      <c r="P69" s="100">
        <v>0</v>
      </c>
      <c r="Q69" s="100">
        <v>0</v>
      </c>
      <c r="R69" s="100">
        <v>0</v>
      </c>
      <c r="S69" s="100">
        <v>0</v>
      </c>
      <c r="T69" s="100">
        <f>SUM(B69:S69)</f>
        <v>0</v>
      </c>
      <c r="U69" s="110"/>
      <c r="V69" s="110"/>
    </row>
    <row r="70" spans="1:22" s="101" customFormat="1" ht="14.25">
      <c r="A70" s="102" t="s">
        <v>239</v>
      </c>
      <c r="B70" s="100">
        <f aca="true" t="shared" si="13" ref="B70:N70">SUM(B69)</f>
        <v>0</v>
      </c>
      <c r="C70" s="100">
        <f t="shared" si="13"/>
        <v>0</v>
      </c>
      <c r="D70" s="100">
        <f>SUM(D69)</f>
        <v>0</v>
      </c>
      <c r="E70" s="100">
        <f t="shared" si="13"/>
        <v>0</v>
      </c>
      <c r="F70" s="100">
        <v>0</v>
      </c>
      <c r="G70" s="100">
        <f t="shared" si="13"/>
        <v>0</v>
      </c>
      <c r="H70" s="100">
        <f t="shared" si="13"/>
        <v>0</v>
      </c>
      <c r="I70" s="100">
        <f>SUM(I69)</f>
        <v>0</v>
      </c>
      <c r="J70" s="100">
        <v>0</v>
      </c>
      <c r="K70" s="100">
        <f t="shared" si="13"/>
        <v>0</v>
      </c>
      <c r="L70" s="100">
        <f>SUM(L69)</f>
        <v>0</v>
      </c>
      <c r="M70" s="100">
        <f t="shared" si="13"/>
        <v>0</v>
      </c>
      <c r="N70" s="100">
        <f t="shared" si="13"/>
        <v>0</v>
      </c>
      <c r="O70" s="100">
        <f>SUM(O69)</f>
        <v>0</v>
      </c>
      <c r="P70" s="100">
        <v>0</v>
      </c>
      <c r="Q70" s="100">
        <f>SUM(Q69)</f>
        <v>0</v>
      </c>
      <c r="R70" s="100">
        <f>SUM(R69)</f>
        <v>0</v>
      </c>
      <c r="S70" s="100">
        <f>SUM(S68:S69)</f>
        <v>0</v>
      </c>
      <c r="T70" s="100">
        <f>SUM(B70:S70)</f>
        <v>0</v>
      </c>
      <c r="U70" s="110">
        <v>0</v>
      </c>
      <c r="V70" s="110"/>
    </row>
    <row r="71" spans="1:22" s="101" customFormat="1" ht="14.25">
      <c r="A71" s="102" t="s">
        <v>240</v>
      </c>
      <c r="B71" s="100">
        <v>0</v>
      </c>
      <c r="C71" s="100">
        <v>0</v>
      </c>
      <c r="D71" s="100">
        <v>0</v>
      </c>
      <c r="E71" s="100">
        <v>0</v>
      </c>
      <c r="F71" s="100">
        <v>0</v>
      </c>
      <c r="G71" s="100">
        <v>0</v>
      </c>
      <c r="H71" s="100">
        <v>0</v>
      </c>
      <c r="I71" s="100">
        <v>0</v>
      </c>
      <c r="J71" s="100">
        <v>0</v>
      </c>
      <c r="K71" s="100">
        <v>0</v>
      </c>
      <c r="L71" s="100">
        <f>SUM(0)</f>
        <v>0</v>
      </c>
      <c r="M71" s="100">
        <v>0</v>
      </c>
      <c r="N71" s="100">
        <v>0</v>
      </c>
      <c r="O71" s="100">
        <v>0</v>
      </c>
      <c r="P71" s="100">
        <v>0</v>
      </c>
      <c r="Q71" s="100">
        <v>0</v>
      </c>
      <c r="R71" s="100">
        <v>0</v>
      </c>
      <c r="S71" s="100">
        <v>0</v>
      </c>
      <c r="T71" s="100">
        <f>SUM(B71:S71)</f>
        <v>0</v>
      </c>
      <c r="U71" s="110"/>
      <c r="V71" s="110"/>
    </row>
    <row r="72" spans="1:20" ht="16.5">
      <c r="A72" s="105"/>
      <c r="B72" s="104"/>
      <c r="C72" s="12"/>
      <c r="D72" s="12"/>
      <c r="E72" s="12"/>
      <c r="F72" s="12"/>
      <c r="G72" s="12"/>
      <c r="H72" s="12"/>
      <c r="I72" s="104"/>
      <c r="J72" s="12"/>
      <c r="K72" s="12"/>
      <c r="L72" s="12"/>
      <c r="M72" s="12"/>
      <c r="N72" s="12"/>
      <c r="O72" s="12"/>
      <c r="P72" s="104"/>
      <c r="Q72" s="12"/>
      <c r="R72" s="12"/>
      <c r="S72" s="12"/>
      <c r="T72" s="12"/>
    </row>
    <row r="73" spans="1:20" ht="16.5">
      <c r="A73" s="105"/>
      <c r="B73" s="104"/>
      <c r="C73" s="12"/>
      <c r="D73" s="12"/>
      <c r="E73" s="12"/>
      <c r="F73" s="12"/>
      <c r="G73" s="12"/>
      <c r="H73" s="12"/>
      <c r="I73" s="104"/>
      <c r="J73" s="12"/>
      <c r="K73" s="12"/>
      <c r="L73" s="12"/>
      <c r="M73" s="12"/>
      <c r="N73" s="12"/>
      <c r="O73" s="12"/>
      <c r="P73" s="104"/>
      <c r="Q73" s="12"/>
      <c r="R73" s="12"/>
      <c r="S73" s="12"/>
      <c r="T73" s="12"/>
    </row>
    <row r="74" spans="1:20" ht="16.5">
      <c r="A74" s="105"/>
      <c r="B74" s="104"/>
      <c r="C74" s="12"/>
      <c r="D74" s="12"/>
      <c r="E74" s="12"/>
      <c r="F74" s="12"/>
      <c r="G74" s="12"/>
      <c r="H74" s="12"/>
      <c r="I74" s="104"/>
      <c r="J74" s="12"/>
      <c r="K74" s="12"/>
      <c r="L74" s="12"/>
      <c r="M74" s="12"/>
      <c r="N74" s="12"/>
      <c r="O74" s="12"/>
      <c r="P74" s="104"/>
      <c r="Q74" s="12"/>
      <c r="R74" s="12"/>
      <c r="S74" s="12"/>
      <c r="T74" s="12"/>
    </row>
    <row r="75" spans="1:20" ht="16.5">
      <c r="A75" s="105"/>
      <c r="B75" s="104"/>
      <c r="C75" s="12"/>
      <c r="D75" s="12"/>
      <c r="E75" s="12"/>
      <c r="F75" s="12"/>
      <c r="G75" s="12"/>
      <c r="H75" s="12"/>
      <c r="I75" s="104"/>
      <c r="J75" s="12"/>
      <c r="K75" s="12"/>
      <c r="L75" s="12"/>
      <c r="M75" s="12"/>
      <c r="N75" s="12"/>
      <c r="O75" s="12"/>
      <c r="P75" s="104"/>
      <c r="Q75" s="12"/>
      <c r="R75" s="12"/>
      <c r="S75" s="12"/>
      <c r="T75" s="12"/>
    </row>
    <row r="76" spans="1:20" ht="16.5">
      <c r="A76" s="105"/>
      <c r="B76" s="104"/>
      <c r="C76" s="12"/>
      <c r="D76" s="12"/>
      <c r="E76" s="12"/>
      <c r="F76" s="12"/>
      <c r="G76" s="12"/>
      <c r="H76" s="12"/>
      <c r="I76" s="104"/>
      <c r="J76" s="12"/>
      <c r="K76" s="12"/>
      <c r="L76" s="12"/>
      <c r="M76" s="12"/>
      <c r="N76" s="12"/>
      <c r="O76" s="12"/>
      <c r="P76" s="104"/>
      <c r="Q76" s="12"/>
      <c r="R76" s="12"/>
      <c r="S76" s="12"/>
      <c r="T76" s="12"/>
    </row>
    <row r="77" spans="1:20" ht="16.5">
      <c r="A77" s="105"/>
      <c r="B77" s="104"/>
      <c r="C77" s="12"/>
      <c r="D77" s="12"/>
      <c r="E77" s="12"/>
      <c r="F77" s="12"/>
      <c r="G77" s="12"/>
      <c r="H77" s="12"/>
      <c r="I77" s="104"/>
      <c r="J77" s="12"/>
      <c r="K77" s="12"/>
      <c r="L77" s="12"/>
      <c r="M77" s="12"/>
      <c r="N77" s="12"/>
      <c r="O77" s="12"/>
      <c r="P77" s="104"/>
      <c r="Q77" s="12"/>
      <c r="R77" s="12"/>
      <c r="S77" s="12"/>
      <c r="T77" s="12"/>
    </row>
    <row r="78" spans="1:20" ht="16.5">
      <c r="A78" s="105"/>
      <c r="B78" s="104"/>
      <c r="C78" s="12"/>
      <c r="D78" s="12"/>
      <c r="E78" s="12"/>
      <c r="F78" s="12"/>
      <c r="G78" s="12"/>
      <c r="H78" s="12"/>
      <c r="I78" s="104"/>
      <c r="J78" s="12"/>
      <c r="K78" s="12"/>
      <c r="L78" s="12"/>
      <c r="M78" s="12"/>
      <c r="N78" s="12"/>
      <c r="O78" s="12"/>
      <c r="P78" s="104"/>
      <c r="Q78" s="12"/>
      <c r="R78" s="12"/>
      <c r="S78" s="12"/>
      <c r="T78" s="12"/>
    </row>
    <row r="79" spans="1:20" ht="16.5">
      <c r="A79" s="258" t="s">
        <v>17</v>
      </c>
      <c r="B79" s="258"/>
      <c r="C79" s="258"/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</row>
    <row r="80" spans="1:20" ht="16.5">
      <c r="A80" s="94" t="s">
        <v>207</v>
      </c>
      <c r="B80" s="259" t="s">
        <v>208</v>
      </c>
      <c r="C80" s="260"/>
      <c r="D80" s="259" t="s">
        <v>209</v>
      </c>
      <c r="E80" s="260"/>
      <c r="F80" s="259" t="s">
        <v>210</v>
      </c>
      <c r="G80" s="260"/>
      <c r="H80" s="95" t="s">
        <v>211</v>
      </c>
      <c r="I80" s="98" t="s">
        <v>212</v>
      </c>
      <c r="J80" s="259" t="s">
        <v>213</v>
      </c>
      <c r="K80" s="260"/>
      <c r="L80" s="259" t="s">
        <v>214</v>
      </c>
      <c r="M80" s="260"/>
      <c r="N80" s="259" t="s">
        <v>215</v>
      </c>
      <c r="O80" s="260"/>
      <c r="P80" s="96" t="s">
        <v>267</v>
      </c>
      <c r="Q80" s="259" t="s">
        <v>216</v>
      </c>
      <c r="R80" s="260"/>
      <c r="S80" s="11" t="s">
        <v>217</v>
      </c>
      <c r="T80" s="231" t="s">
        <v>218</v>
      </c>
    </row>
    <row r="81" spans="1:20" ht="16.5">
      <c r="A81" s="97" t="s">
        <v>85</v>
      </c>
      <c r="B81" s="98" t="s">
        <v>219</v>
      </c>
      <c r="C81" s="11" t="s">
        <v>220</v>
      </c>
      <c r="D81" s="11" t="s">
        <v>221</v>
      </c>
      <c r="E81" s="11" t="s">
        <v>222</v>
      </c>
      <c r="F81" s="11" t="s">
        <v>223</v>
      </c>
      <c r="G81" s="11" t="s">
        <v>224</v>
      </c>
      <c r="H81" s="11" t="s">
        <v>225</v>
      </c>
      <c r="I81" s="98" t="s">
        <v>226</v>
      </c>
      <c r="J81" s="11" t="s">
        <v>227</v>
      </c>
      <c r="K81" s="11" t="s">
        <v>228</v>
      </c>
      <c r="L81" s="11" t="s">
        <v>335</v>
      </c>
      <c r="M81" s="11" t="s">
        <v>229</v>
      </c>
      <c r="N81" s="11" t="s">
        <v>230</v>
      </c>
      <c r="O81" s="11" t="s">
        <v>231</v>
      </c>
      <c r="P81" s="98" t="s">
        <v>232</v>
      </c>
      <c r="Q81" s="11" t="s">
        <v>233</v>
      </c>
      <c r="R81" s="11" t="s">
        <v>234</v>
      </c>
      <c r="S81" s="11" t="s">
        <v>235</v>
      </c>
      <c r="T81" s="232"/>
    </row>
    <row r="82" spans="1:22" s="101" customFormat="1" ht="14.25">
      <c r="A82" s="99" t="s">
        <v>268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10"/>
      <c r="V82" s="110"/>
    </row>
    <row r="83" spans="1:22" s="101" customFormat="1" ht="14.25">
      <c r="A83" s="98" t="s">
        <v>269</v>
      </c>
      <c r="B83" s="100">
        <v>0</v>
      </c>
      <c r="C83" s="100">
        <v>0</v>
      </c>
      <c r="D83" s="100">
        <v>0</v>
      </c>
      <c r="E83" s="100">
        <v>0</v>
      </c>
      <c r="F83" s="100">
        <v>0</v>
      </c>
      <c r="G83" s="100">
        <v>0</v>
      </c>
      <c r="H83" s="100">
        <v>0</v>
      </c>
      <c r="I83" s="100">
        <v>0</v>
      </c>
      <c r="J83" s="100">
        <v>0</v>
      </c>
      <c r="K83" s="100">
        <v>0</v>
      </c>
      <c r="L83" s="100"/>
      <c r="M83" s="100">
        <v>0</v>
      </c>
      <c r="N83" s="100">
        <v>0</v>
      </c>
      <c r="O83" s="100">
        <v>0</v>
      </c>
      <c r="P83" s="100">
        <v>0</v>
      </c>
      <c r="Q83" s="100">
        <v>0</v>
      </c>
      <c r="R83" s="100">
        <v>0</v>
      </c>
      <c r="S83" s="100">
        <v>0</v>
      </c>
      <c r="T83" s="100">
        <f aca="true" t="shared" si="14" ref="T83:T93">SUM(B83:S83)</f>
        <v>0</v>
      </c>
      <c r="U83" s="110"/>
      <c r="V83" s="110"/>
    </row>
    <row r="84" spans="1:22" s="101" customFormat="1" ht="14.25">
      <c r="A84" s="98">
        <v>456</v>
      </c>
      <c r="B84" s="100">
        <v>0</v>
      </c>
      <c r="C84" s="100">
        <v>0</v>
      </c>
      <c r="D84" s="100">
        <v>0</v>
      </c>
      <c r="E84" s="100">
        <v>0</v>
      </c>
      <c r="F84" s="100">
        <v>0</v>
      </c>
      <c r="G84" s="100">
        <v>0</v>
      </c>
      <c r="H84" s="100">
        <v>0</v>
      </c>
      <c r="I84" s="100">
        <v>0</v>
      </c>
      <c r="J84" s="100">
        <v>0</v>
      </c>
      <c r="K84" s="100">
        <v>0</v>
      </c>
      <c r="L84" s="100"/>
      <c r="M84" s="100">
        <v>0</v>
      </c>
      <c r="N84" s="100">
        <v>0</v>
      </c>
      <c r="O84" s="100">
        <v>0</v>
      </c>
      <c r="P84" s="100">
        <v>0</v>
      </c>
      <c r="Q84" s="100">
        <v>0</v>
      </c>
      <c r="R84" s="100">
        <v>0</v>
      </c>
      <c r="S84" s="100">
        <v>0</v>
      </c>
      <c r="T84" s="100">
        <f t="shared" si="14"/>
        <v>0</v>
      </c>
      <c r="U84" s="110"/>
      <c r="V84" s="110"/>
    </row>
    <row r="85" spans="1:22" s="101" customFormat="1" ht="14.25">
      <c r="A85" s="98">
        <v>457</v>
      </c>
      <c r="B85" s="100">
        <v>0</v>
      </c>
      <c r="C85" s="100">
        <v>0</v>
      </c>
      <c r="D85" s="100">
        <v>0</v>
      </c>
      <c r="E85" s="100">
        <v>0</v>
      </c>
      <c r="F85" s="100">
        <v>0</v>
      </c>
      <c r="G85" s="100">
        <v>0</v>
      </c>
      <c r="H85" s="100">
        <v>0</v>
      </c>
      <c r="I85" s="100">
        <v>0</v>
      </c>
      <c r="J85" s="100">
        <v>0</v>
      </c>
      <c r="K85" s="100">
        <v>0</v>
      </c>
      <c r="L85" s="100"/>
      <c r="M85" s="100">
        <v>0</v>
      </c>
      <c r="N85" s="100">
        <v>0</v>
      </c>
      <c r="O85" s="100">
        <v>0</v>
      </c>
      <c r="P85" s="100">
        <v>0</v>
      </c>
      <c r="Q85" s="100">
        <v>0</v>
      </c>
      <c r="R85" s="100">
        <v>0</v>
      </c>
      <c r="S85" s="100">
        <v>0</v>
      </c>
      <c r="T85" s="100">
        <f t="shared" si="14"/>
        <v>0</v>
      </c>
      <c r="U85" s="110"/>
      <c r="V85" s="110"/>
    </row>
    <row r="86" spans="1:22" s="101" customFormat="1" ht="14.25">
      <c r="A86" s="98">
        <v>458</v>
      </c>
      <c r="B86" s="100">
        <v>0</v>
      </c>
      <c r="C86" s="100">
        <v>0</v>
      </c>
      <c r="D86" s="100">
        <v>0</v>
      </c>
      <c r="E86" s="100">
        <v>0</v>
      </c>
      <c r="F86" s="100">
        <v>0</v>
      </c>
      <c r="G86" s="100">
        <v>0</v>
      </c>
      <c r="H86" s="100">
        <v>0</v>
      </c>
      <c r="I86" s="100">
        <v>0</v>
      </c>
      <c r="J86" s="100">
        <v>0</v>
      </c>
      <c r="K86" s="100">
        <v>0</v>
      </c>
      <c r="L86" s="100"/>
      <c r="M86" s="100">
        <v>0</v>
      </c>
      <c r="N86" s="100">
        <v>0</v>
      </c>
      <c r="O86" s="100">
        <v>0</v>
      </c>
      <c r="P86" s="100">
        <v>0</v>
      </c>
      <c r="Q86" s="100">
        <v>0</v>
      </c>
      <c r="R86" s="100">
        <v>0</v>
      </c>
      <c r="S86" s="100">
        <v>0</v>
      </c>
      <c r="T86" s="100">
        <f t="shared" si="14"/>
        <v>0</v>
      </c>
      <c r="U86" s="110"/>
      <c r="V86" s="110"/>
    </row>
    <row r="87" spans="1:22" s="101" customFormat="1" ht="14.25">
      <c r="A87" s="98">
        <v>459</v>
      </c>
      <c r="B87" s="100">
        <v>0</v>
      </c>
      <c r="C87" s="100">
        <v>0</v>
      </c>
      <c r="D87" s="100">
        <v>0</v>
      </c>
      <c r="E87" s="100">
        <v>0</v>
      </c>
      <c r="F87" s="100">
        <v>0</v>
      </c>
      <c r="G87" s="100">
        <v>0</v>
      </c>
      <c r="H87" s="100">
        <v>0</v>
      </c>
      <c r="I87" s="100">
        <v>0</v>
      </c>
      <c r="J87" s="100">
        <v>0</v>
      </c>
      <c r="K87" s="100">
        <v>0</v>
      </c>
      <c r="L87" s="100"/>
      <c r="M87" s="100">
        <v>0</v>
      </c>
      <c r="N87" s="100">
        <v>0</v>
      </c>
      <c r="O87" s="100">
        <v>0</v>
      </c>
      <c r="P87" s="100">
        <v>0</v>
      </c>
      <c r="Q87" s="100">
        <v>0</v>
      </c>
      <c r="R87" s="100">
        <v>0</v>
      </c>
      <c r="S87" s="100">
        <v>0</v>
      </c>
      <c r="T87" s="100">
        <f t="shared" si="14"/>
        <v>0</v>
      </c>
      <c r="U87" s="110"/>
      <c r="V87" s="110"/>
    </row>
    <row r="88" spans="1:22" s="101" customFormat="1" ht="14.25">
      <c r="A88" s="98">
        <v>463</v>
      </c>
      <c r="B88" s="100">
        <v>0</v>
      </c>
      <c r="C88" s="100">
        <v>0</v>
      </c>
      <c r="D88" s="100">
        <v>0</v>
      </c>
      <c r="E88" s="100">
        <v>0</v>
      </c>
      <c r="F88" s="100">
        <v>0</v>
      </c>
      <c r="G88" s="100">
        <v>0</v>
      </c>
      <c r="H88" s="100">
        <v>0</v>
      </c>
      <c r="I88" s="100">
        <v>0</v>
      </c>
      <c r="J88" s="100">
        <v>0</v>
      </c>
      <c r="K88" s="100">
        <v>0</v>
      </c>
      <c r="L88" s="100"/>
      <c r="M88" s="100">
        <v>0</v>
      </c>
      <c r="N88" s="100">
        <v>0</v>
      </c>
      <c r="O88" s="100">
        <v>0</v>
      </c>
      <c r="P88" s="100">
        <v>0</v>
      </c>
      <c r="Q88" s="100">
        <v>0</v>
      </c>
      <c r="R88" s="100">
        <v>0</v>
      </c>
      <c r="S88" s="100">
        <v>0</v>
      </c>
      <c r="T88" s="100">
        <f t="shared" si="14"/>
        <v>0</v>
      </c>
      <c r="U88" s="110"/>
      <c r="V88" s="110"/>
    </row>
    <row r="89" spans="1:22" s="101" customFormat="1" ht="14.25">
      <c r="A89" s="98">
        <v>465</v>
      </c>
      <c r="B89" s="100">
        <v>0</v>
      </c>
      <c r="C89" s="100">
        <v>0</v>
      </c>
      <c r="D89" s="100">
        <v>0</v>
      </c>
      <c r="E89" s="100">
        <v>0</v>
      </c>
      <c r="F89" s="100">
        <v>0</v>
      </c>
      <c r="G89" s="100">
        <v>0</v>
      </c>
      <c r="H89" s="100">
        <v>0</v>
      </c>
      <c r="I89" s="100">
        <v>0</v>
      </c>
      <c r="J89" s="100">
        <v>0</v>
      </c>
      <c r="K89" s="100">
        <v>0</v>
      </c>
      <c r="L89" s="100"/>
      <c r="M89" s="100">
        <v>0</v>
      </c>
      <c r="N89" s="100">
        <v>0</v>
      </c>
      <c r="O89" s="100">
        <v>0</v>
      </c>
      <c r="P89" s="100">
        <v>0</v>
      </c>
      <c r="Q89" s="100">
        <v>0</v>
      </c>
      <c r="R89" s="100">
        <v>0</v>
      </c>
      <c r="S89" s="100">
        <v>0</v>
      </c>
      <c r="T89" s="100">
        <f t="shared" si="14"/>
        <v>0</v>
      </c>
      <c r="U89" s="110"/>
      <c r="V89" s="110"/>
    </row>
    <row r="90" spans="1:22" s="101" customFormat="1" ht="14.25">
      <c r="A90" s="98">
        <v>466</v>
      </c>
      <c r="B90" s="100">
        <v>0</v>
      </c>
      <c r="C90" s="100">
        <v>0</v>
      </c>
      <c r="D90" s="100">
        <v>0</v>
      </c>
      <c r="E90" s="100">
        <v>0</v>
      </c>
      <c r="F90" s="100">
        <v>0</v>
      </c>
      <c r="G90" s="100">
        <v>0</v>
      </c>
      <c r="H90" s="100">
        <v>0</v>
      </c>
      <c r="I90" s="100">
        <v>0</v>
      </c>
      <c r="J90" s="100">
        <v>0</v>
      </c>
      <c r="K90" s="100">
        <v>0</v>
      </c>
      <c r="L90" s="100"/>
      <c r="M90" s="100">
        <v>0</v>
      </c>
      <c r="N90" s="100">
        <v>0</v>
      </c>
      <c r="O90" s="100">
        <v>0</v>
      </c>
      <c r="P90" s="100">
        <v>0</v>
      </c>
      <c r="Q90" s="100">
        <v>0</v>
      </c>
      <c r="R90" s="100">
        <v>0</v>
      </c>
      <c r="S90" s="100">
        <v>0</v>
      </c>
      <c r="T90" s="100">
        <f t="shared" si="14"/>
        <v>0</v>
      </c>
      <c r="U90" s="110"/>
      <c r="V90" s="110"/>
    </row>
    <row r="91" spans="1:22" s="101" customFormat="1" ht="14.25">
      <c r="A91" s="98">
        <v>467</v>
      </c>
      <c r="B91" s="100">
        <v>0</v>
      </c>
      <c r="C91" s="100">
        <v>0</v>
      </c>
      <c r="D91" s="100">
        <v>0</v>
      </c>
      <c r="E91" s="100">
        <v>0</v>
      </c>
      <c r="F91" s="100">
        <v>0</v>
      </c>
      <c r="G91" s="100">
        <v>0</v>
      </c>
      <c r="H91" s="100">
        <v>0</v>
      </c>
      <c r="I91" s="100">
        <v>0</v>
      </c>
      <c r="J91" s="100">
        <v>0</v>
      </c>
      <c r="K91" s="100">
        <v>0</v>
      </c>
      <c r="L91" s="100"/>
      <c r="M91" s="100">
        <v>0</v>
      </c>
      <c r="N91" s="100">
        <v>0</v>
      </c>
      <c r="O91" s="100">
        <v>0</v>
      </c>
      <c r="P91" s="100">
        <v>0</v>
      </c>
      <c r="Q91" s="100">
        <v>0</v>
      </c>
      <c r="R91" s="100">
        <v>0</v>
      </c>
      <c r="S91" s="100">
        <v>0</v>
      </c>
      <c r="T91" s="100">
        <f t="shared" si="14"/>
        <v>0</v>
      </c>
      <c r="U91" s="110"/>
      <c r="V91" s="110"/>
    </row>
    <row r="92" spans="1:22" s="101" customFormat="1" ht="14.25">
      <c r="A92" s="102" t="s">
        <v>239</v>
      </c>
      <c r="B92" s="100">
        <f>SUM(B83:B91)</f>
        <v>0</v>
      </c>
      <c r="C92" s="100">
        <f aca="true" t="shared" si="15" ref="C92:S92">SUM(C83:C91)</f>
        <v>0</v>
      </c>
      <c r="D92" s="100">
        <f t="shared" si="15"/>
        <v>0</v>
      </c>
      <c r="E92" s="100">
        <f t="shared" si="15"/>
        <v>0</v>
      </c>
      <c r="F92" s="100">
        <f t="shared" si="15"/>
        <v>0</v>
      </c>
      <c r="G92" s="100">
        <f>SUM(G83:G91)</f>
        <v>0</v>
      </c>
      <c r="H92" s="100">
        <f t="shared" si="15"/>
        <v>0</v>
      </c>
      <c r="I92" s="100">
        <f t="shared" si="15"/>
        <v>0</v>
      </c>
      <c r="J92" s="100">
        <f t="shared" si="15"/>
        <v>0</v>
      </c>
      <c r="K92" s="100">
        <f t="shared" si="15"/>
        <v>0</v>
      </c>
      <c r="L92" s="100">
        <f>SUM(L83:L91)</f>
        <v>0</v>
      </c>
      <c r="M92" s="100">
        <f t="shared" si="15"/>
        <v>0</v>
      </c>
      <c r="N92" s="100">
        <f t="shared" si="15"/>
        <v>0</v>
      </c>
      <c r="O92" s="100">
        <f t="shared" si="15"/>
        <v>0</v>
      </c>
      <c r="P92" s="100">
        <f t="shared" si="15"/>
        <v>0</v>
      </c>
      <c r="Q92" s="100">
        <f t="shared" si="15"/>
        <v>0</v>
      </c>
      <c r="R92" s="100">
        <f t="shared" si="15"/>
        <v>0</v>
      </c>
      <c r="S92" s="100">
        <f t="shared" si="15"/>
        <v>0</v>
      </c>
      <c r="T92" s="100">
        <f t="shared" si="14"/>
        <v>0</v>
      </c>
      <c r="U92" s="110"/>
      <c r="V92" s="110"/>
    </row>
    <row r="93" spans="1:22" s="101" customFormat="1" ht="14.25">
      <c r="A93" s="102" t="s">
        <v>240</v>
      </c>
      <c r="B93" s="100">
        <v>0</v>
      </c>
      <c r="C93" s="100">
        <v>0</v>
      </c>
      <c r="D93" s="100">
        <v>0</v>
      </c>
      <c r="E93" s="100">
        <v>0</v>
      </c>
      <c r="F93" s="100">
        <v>0</v>
      </c>
      <c r="G93" s="100">
        <v>0</v>
      </c>
      <c r="H93" s="100">
        <v>0</v>
      </c>
      <c r="I93" s="100">
        <v>0</v>
      </c>
      <c r="J93" s="100">
        <v>0</v>
      </c>
      <c r="K93" s="100">
        <v>0</v>
      </c>
      <c r="L93" s="100">
        <f>SUM(0)</f>
        <v>0</v>
      </c>
      <c r="M93" s="100">
        <v>0</v>
      </c>
      <c r="N93" s="100">
        <v>0</v>
      </c>
      <c r="O93" s="100">
        <v>0</v>
      </c>
      <c r="P93" s="100">
        <v>0</v>
      </c>
      <c r="Q93" s="100">
        <v>0</v>
      </c>
      <c r="R93" s="100">
        <v>0</v>
      </c>
      <c r="S93" s="100">
        <v>0</v>
      </c>
      <c r="T93" s="100">
        <f t="shared" si="14"/>
        <v>0</v>
      </c>
      <c r="U93" s="110"/>
      <c r="V93" s="110"/>
    </row>
    <row r="94" spans="1:22" s="101" customFormat="1" ht="14.25">
      <c r="A94" s="99" t="s">
        <v>270</v>
      </c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10"/>
      <c r="V94" s="110"/>
    </row>
    <row r="95" spans="1:22" s="101" customFormat="1" ht="14.25">
      <c r="A95" s="98">
        <v>501</v>
      </c>
      <c r="B95" s="100">
        <v>0</v>
      </c>
      <c r="C95" s="100">
        <v>0</v>
      </c>
      <c r="D95" s="100">
        <v>0</v>
      </c>
      <c r="E95" s="100">
        <v>0</v>
      </c>
      <c r="F95" s="100">
        <v>0</v>
      </c>
      <c r="G95" s="100">
        <v>0</v>
      </c>
      <c r="H95" s="100">
        <v>0</v>
      </c>
      <c r="I95" s="100">
        <v>0</v>
      </c>
      <c r="J95" s="100">
        <v>0</v>
      </c>
      <c r="K95" s="100">
        <v>0</v>
      </c>
      <c r="L95" s="100"/>
      <c r="M95" s="100">
        <v>0</v>
      </c>
      <c r="N95" s="100">
        <v>0</v>
      </c>
      <c r="O95" s="100">
        <v>0</v>
      </c>
      <c r="P95" s="100">
        <v>0</v>
      </c>
      <c r="Q95" s="100">
        <v>0</v>
      </c>
      <c r="R95" s="100">
        <v>0</v>
      </c>
      <c r="S95" s="100">
        <v>0</v>
      </c>
      <c r="T95" s="100">
        <f aca="true" t="shared" si="16" ref="T95:T107">SUM(B95:S95)</f>
        <v>0</v>
      </c>
      <c r="U95" s="110"/>
      <c r="V95" s="110"/>
    </row>
    <row r="96" spans="1:22" s="101" customFormat="1" ht="14.25">
      <c r="A96" s="98">
        <v>502</v>
      </c>
      <c r="B96" s="100">
        <v>0</v>
      </c>
      <c r="C96" s="100">
        <v>0</v>
      </c>
      <c r="D96" s="100">
        <v>0</v>
      </c>
      <c r="E96" s="100">
        <v>0</v>
      </c>
      <c r="F96" s="100">
        <v>0</v>
      </c>
      <c r="G96" s="100">
        <v>0</v>
      </c>
      <c r="H96" s="100">
        <v>0</v>
      </c>
      <c r="I96" s="100">
        <v>0</v>
      </c>
      <c r="J96" s="100">
        <v>0</v>
      </c>
      <c r="K96" s="100">
        <v>0</v>
      </c>
      <c r="L96" s="100"/>
      <c r="M96" s="100">
        <v>0</v>
      </c>
      <c r="N96" s="100">
        <v>0</v>
      </c>
      <c r="O96" s="100">
        <v>0</v>
      </c>
      <c r="P96" s="100">
        <v>0</v>
      </c>
      <c r="Q96" s="100">
        <v>0</v>
      </c>
      <c r="R96" s="100">
        <v>0</v>
      </c>
      <c r="S96" s="100">
        <v>0</v>
      </c>
      <c r="T96" s="100">
        <f t="shared" si="16"/>
        <v>0</v>
      </c>
      <c r="U96" s="110"/>
      <c r="V96" s="110"/>
    </row>
    <row r="97" spans="1:22" s="101" customFormat="1" ht="14.25">
      <c r="A97" s="98">
        <v>507</v>
      </c>
      <c r="B97" s="100">
        <v>0</v>
      </c>
      <c r="C97" s="100">
        <v>0</v>
      </c>
      <c r="D97" s="100">
        <v>0</v>
      </c>
      <c r="E97" s="100">
        <v>0</v>
      </c>
      <c r="F97" s="100">
        <v>0</v>
      </c>
      <c r="G97" s="100">
        <v>0</v>
      </c>
      <c r="H97" s="100">
        <v>0</v>
      </c>
      <c r="I97" s="100">
        <v>0</v>
      </c>
      <c r="J97" s="100">
        <v>0</v>
      </c>
      <c r="K97" s="100">
        <v>0</v>
      </c>
      <c r="L97" s="100"/>
      <c r="M97" s="100">
        <v>0</v>
      </c>
      <c r="N97" s="100">
        <v>0</v>
      </c>
      <c r="O97" s="100">
        <v>0</v>
      </c>
      <c r="P97" s="100">
        <v>0</v>
      </c>
      <c r="Q97" s="100">
        <v>0</v>
      </c>
      <c r="R97" s="100">
        <v>0</v>
      </c>
      <c r="S97" s="100">
        <v>0</v>
      </c>
      <c r="T97" s="100">
        <f t="shared" si="16"/>
        <v>0</v>
      </c>
      <c r="U97" s="110"/>
      <c r="V97" s="110"/>
    </row>
    <row r="98" spans="1:22" s="101" customFormat="1" ht="14.25">
      <c r="A98" s="98">
        <v>509</v>
      </c>
      <c r="B98" s="100">
        <v>0</v>
      </c>
      <c r="C98" s="100">
        <v>0</v>
      </c>
      <c r="D98" s="100">
        <v>0</v>
      </c>
      <c r="E98" s="100">
        <v>0</v>
      </c>
      <c r="F98" s="100">
        <v>0</v>
      </c>
      <c r="G98" s="100">
        <v>0</v>
      </c>
      <c r="H98" s="100">
        <v>0</v>
      </c>
      <c r="I98" s="100">
        <v>0</v>
      </c>
      <c r="J98" s="100">
        <v>0</v>
      </c>
      <c r="K98" s="100">
        <v>0</v>
      </c>
      <c r="L98" s="100"/>
      <c r="M98" s="100">
        <v>0</v>
      </c>
      <c r="N98" s="100">
        <v>0</v>
      </c>
      <c r="O98" s="100">
        <v>0</v>
      </c>
      <c r="P98" s="100">
        <v>0</v>
      </c>
      <c r="Q98" s="100">
        <v>0</v>
      </c>
      <c r="R98" s="100">
        <v>0</v>
      </c>
      <c r="S98" s="100">
        <v>0</v>
      </c>
      <c r="T98" s="100">
        <f>SUM(B98:S98)</f>
        <v>0</v>
      </c>
      <c r="U98" s="110"/>
      <c r="V98" s="110"/>
    </row>
    <row r="99" spans="1:22" s="101" customFormat="1" ht="14.25">
      <c r="A99" s="98">
        <v>511</v>
      </c>
      <c r="B99" s="100">
        <v>0</v>
      </c>
      <c r="C99" s="100">
        <v>0</v>
      </c>
      <c r="D99" s="100">
        <v>0</v>
      </c>
      <c r="E99" s="100">
        <v>0</v>
      </c>
      <c r="F99" s="100">
        <v>0</v>
      </c>
      <c r="G99" s="100">
        <v>0</v>
      </c>
      <c r="H99" s="100">
        <v>0</v>
      </c>
      <c r="I99" s="100">
        <v>0</v>
      </c>
      <c r="J99" s="100">
        <v>0</v>
      </c>
      <c r="K99" s="100">
        <v>0</v>
      </c>
      <c r="L99" s="100"/>
      <c r="M99" s="100">
        <v>0</v>
      </c>
      <c r="N99" s="100">
        <v>0</v>
      </c>
      <c r="O99" s="100">
        <v>0</v>
      </c>
      <c r="P99" s="100">
        <v>0</v>
      </c>
      <c r="Q99" s="100">
        <v>0</v>
      </c>
      <c r="R99" s="100">
        <v>0</v>
      </c>
      <c r="S99" s="100">
        <v>0</v>
      </c>
      <c r="T99" s="100">
        <f t="shared" si="16"/>
        <v>0</v>
      </c>
      <c r="U99" s="110"/>
      <c r="V99" s="110"/>
    </row>
    <row r="100" spans="1:22" s="101" customFormat="1" ht="14.25">
      <c r="A100" s="98" t="s">
        <v>271</v>
      </c>
      <c r="B100" s="100">
        <v>0</v>
      </c>
      <c r="C100" s="100">
        <v>0</v>
      </c>
      <c r="D100" s="100">
        <v>0</v>
      </c>
      <c r="E100" s="100">
        <v>0</v>
      </c>
      <c r="F100" s="100">
        <v>0</v>
      </c>
      <c r="G100" s="100">
        <v>0</v>
      </c>
      <c r="H100" s="100">
        <v>0</v>
      </c>
      <c r="I100" s="100">
        <v>0</v>
      </c>
      <c r="J100" s="100">
        <v>0</v>
      </c>
      <c r="K100" s="100">
        <v>0</v>
      </c>
      <c r="L100" s="100"/>
      <c r="M100" s="100">
        <v>0</v>
      </c>
      <c r="N100" s="100">
        <v>0</v>
      </c>
      <c r="O100" s="100">
        <v>0</v>
      </c>
      <c r="P100" s="100">
        <v>0</v>
      </c>
      <c r="Q100" s="100">
        <v>0</v>
      </c>
      <c r="R100" s="100">
        <v>0</v>
      </c>
      <c r="S100" s="100">
        <v>0</v>
      </c>
      <c r="T100" s="100">
        <f t="shared" si="16"/>
        <v>0</v>
      </c>
      <c r="U100" s="110"/>
      <c r="V100" s="110"/>
    </row>
    <row r="101" spans="1:22" s="101" customFormat="1" ht="14.25">
      <c r="A101" s="98" t="s">
        <v>272</v>
      </c>
      <c r="B101" s="100">
        <v>0</v>
      </c>
      <c r="C101" s="100">
        <v>0</v>
      </c>
      <c r="D101" s="100">
        <v>0</v>
      </c>
      <c r="E101" s="100">
        <v>0</v>
      </c>
      <c r="F101" s="100">
        <v>0</v>
      </c>
      <c r="G101" s="100">
        <v>0</v>
      </c>
      <c r="H101" s="100">
        <v>0</v>
      </c>
      <c r="I101" s="100">
        <v>0</v>
      </c>
      <c r="J101" s="100">
        <v>0</v>
      </c>
      <c r="K101" s="100">
        <v>0</v>
      </c>
      <c r="L101" s="100"/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  <c r="R101" s="100">
        <v>0</v>
      </c>
      <c r="S101" s="100">
        <v>0</v>
      </c>
      <c r="T101" s="100">
        <f t="shared" si="16"/>
        <v>0</v>
      </c>
      <c r="U101" s="110"/>
      <c r="V101" s="110"/>
    </row>
    <row r="102" spans="1:22" s="101" customFormat="1" ht="14.25">
      <c r="A102" s="98">
        <v>517</v>
      </c>
      <c r="B102" s="100">
        <v>0</v>
      </c>
      <c r="C102" s="100">
        <v>0</v>
      </c>
      <c r="D102" s="100">
        <v>0</v>
      </c>
      <c r="E102" s="100">
        <v>0</v>
      </c>
      <c r="F102" s="100">
        <v>0</v>
      </c>
      <c r="G102" s="100">
        <v>0</v>
      </c>
      <c r="H102" s="100">
        <v>0</v>
      </c>
      <c r="I102" s="100">
        <v>0</v>
      </c>
      <c r="J102" s="100">
        <v>0</v>
      </c>
      <c r="K102" s="100">
        <v>0</v>
      </c>
      <c r="L102" s="100"/>
      <c r="M102" s="100">
        <v>0</v>
      </c>
      <c r="N102" s="100">
        <v>0</v>
      </c>
      <c r="O102" s="100">
        <v>0</v>
      </c>
      <c r="P102" s="100">
        <v>0</v>
      </c>
      <c r="Q102" s="100">
        <v>0</v>
      </c>
      <c r="R102" s="100">
        <v>0</v>
      </c>
      <c r="S102" s="100">
        <v>0</v>
      </c>
      <c r="T102" s="100">
        <f t="shared" si="16"/>
        <v>0</v>
      </c>
      <c r="U102" s="110"/>
      <c r="V102" s="110"/>
    </row>
    <row r="103" spans="1:22" s="101" customFormat="1" ht="14.25">
      <c r="A103" s="98">
        <v>519</v>
      </c>
      <c r="B103" s="100">
        <v>0</v>
      </c>
      <c r="C103" s="100">
        <v>0</v>
      </c>
      <c r="D103" s="100">
        <v>0</v>
      </c>
      <c r="E103" s="100">
        <v>0</v>
      </c>
      <c r="F103" s="100">
        <v>0</v>
      </c>
      <c r="G103" s="100">
        <v>0</v>
      </c>
      <c r="H103" s="100">
        <v>0</v>
      </c>
      <c r="I103" s="100">
        <v>0</v>
      </c>
      <c r="J103" s="100">
        <v>0</v>
      </c>
      <c r="K103" s="100">
        <v>0</v>
      </c>
      <c r="L103" s="100"/>
      <c r="M103" s="100">
        <v>0</v>
      </c>
      <c r="N103" s="100">
        <v>0</v>
      </c>
      <c r="O103" s="100">
        <v>0</v>
      </c>
      <c r="P103" s="100">
        <v>0</v>
      </c>
      <c r="Q103" s="100">
        <v>0</v>
      </c>
      <c r="R103" s="100">
        <v>0</v>
      </c>
      <c r="S103" s="100">
        <v>0</v>
      </c>
      <c r="T103" s="100"/>
      <c r="U103" s="110"/>
      <c r="V103" s="110"/>
    </row>
    <row r="104" spans="1:22" s="101" customFormat="1" ht="14.25">
      <c r="A104" s="102" t="s">
        <v>239</v>
      </c>
      <c r="B104" s="100">
        <f>SUM(B97:B102)</f>
        <v>0</v>
      </c>
      <c r="C104" s="100">
        <f aca="true" t="shared" si="17" ref="C104:S104">SUM(C97:C102)</f>
        <v>0</v>
      </c>
      <c r="D104" s="100">
        <f t="shared" si="17"/>
        <v>0</v>
      </c>
      <c r="E104" s="100">
        <f t="shared" si="17"/>
        <v>0</v>
      </c>
      <c r="F104" s="100">
        <f t="shared" si="17"/>
        <v>0</v>
      </c>
      <c r="G104" s="100">
        <f t="shared" si="17"/>
        <v>0</v>
      </c>
      <c r="H104" s="100">
        <f t="shared" si="17"/>
        <v>0</v>
      </c>
      <c r="I104" s="100">
        <f t="shared" si="17"/>
        <v>0</v>
      </c>
      <c r="J104" s="100">
        <f t="shared" si="17"/>
        <v>0</v>
      </c>
      <c r="K104" s="100">
        <f t="shared" si="17"/>
        <v>0</v>
      </c>
      <c r="L104" s="100">
        <f>SUM(L95:L103)</f>
        <v>0</v>
      </c>
      <c r="M104" s="100">
        <f t="shared" si="17"/>
        <v>0</v>
      </c>
      <c r="N104" s="100">
        <f t="shared" si="17"/>
        <v>0</v>
      </c>
      <c r="O104" s="100">
        <f t="shared" si="17"/>
        <v>0</v>
      </c>
      <c r="P104" s="100">
        <f t="shared" si="17"/>
        <v>0</v>
      </c>
      <c r="Q104" s="100">
        <f t="shared" si="17"/>
        <v>0</v>
      </c>
      <c r="R104" s="100">
        <f t="shared" si="17"/>
        <v>0</v>
      </c>
      <c r="S104" s="100">
        <f t="shared" si="17"/>
        <v>0</v>
      </c>
      <c r="T104" s="100">
        <f t="shared" si="16"/>
        <v>0</v>
      </c>
      <c r="U104" s="110"/>
      <c r="V104" s="110"/>
    </row>
    <row r="105" spans="1:22" s="101" customFormat="1" ht="14.25">
      <c r="A105" s="102" t="s">
        <v>240</v>
      </c>
      <c r="B105" s="100">
        <v>0</v>
      </c>
      <c r="C105" s="100">
        <v>0</v>
      </c>
      <c r="D105" s="100">
        <v>0</v>
      </c>
      <c r="E105" s="100">
        <v>0</v>
      </c>
      <c r="F105" s="100">
        <v>0</v>
      </c>
      <c r="G105" s="100">
        <v>0</v>
      </c>
      <c r="H105" s="100">
        <v>0</v>
      </c>
      <c r="I105" s="100">
        <v>0</v>
      </c>
      <c r="J105" s="100">
        <v>0</v>
      </c>
      <c r="K105" s="100">
        <v>0</v>
      </c>
      <c r="L105" s="100">
        <f>SUM(0)</f>
        <v>0</v>
      </c>
      <c r="M105" s="100">
        <v>0</v>
      </c>
      <c r="N105" s="100">
        <v>0</v>
      </c>
      <c r="O105" s="100">
        <v>0</v>
      </c>
      <c r="P105" s="100">
        <v>0</v>
      </c>
      <c r="Q105" s="100">
        <v>0</v>
      </c>
      <c r="R105" s="100">
        <v>0</v>
      </c>
      <c r="S105" s="100">
        <v>0</v>
      </c>
      <c r="T105" s="100">
        <f t="shared" si="16"/>
        <v>0</v>
      </c>
      <c r="U105" s="110"/>
      <c r="V105" s="110"/>
    </row>
    <row r="106" spans="1:22" s="101" customFormat="1" ht="14.25">
      <c r="A106" s="106">
        <v>550</v>
      </c>
      <c r="B106" s="100"/>
      <c r="C106" s="100"/>
      <c r="D106" s="100"/>
      <c r="E106" s="100"/>
      <c r="F106" s="100"/>
      <c r="G106" s="100">
        <v>0</v>
      </c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10"/>
      <c r="V106" s="110"/>
    </row>
    <row r="107" spans="1:22" s="101" customFormat="1" ht="14.25">
      <c r="A107" s="107">
        <v>554</v>
      </c>
      <c r="B107" s="100">
        <v>0</v>
      </c>
      <c r="C107" s="100">
        <v>0</v>
      </c>
      <c r="D107" s="100">
        <v>0</v>
      </c>
      <c r="E107" s="100">
        <v>0</v>
      </c>
      <c r="F107" s="100">
        <v>0</v>
      </c>
      <c r="G107" s="100">
        <v>0</v>
      </c>
      <c r="H107" s="100">
        <v>0</v>
      </c>
      <c r="I107" s="100">
        <v>0</v>
      </c>
      <c r="J107" s="100">
        <v>0</v>
      </c>
      <c r="K107" s="100">
        <v>0</v>
      </c>
      <c r="L107" s="100"/>
      <c r="M107" s="100">
        <v>0</v>
      </c>
      <c r="N107" s="100">
        <v>0</v>
      </c>
      <c r="O107" s="100">
        <v>0</v>
      </c>
      <c r="P107" s="100">
        <v>0</v>
      </c>
      <c r="Q107" s="100">
        <v>0</v>
      </c>
      <c r="R107" s="100">
        <v>0</v>
      </c>
      <c r="S107" s="100">
        <v>0</v>
      </c>
      <c r="T107" s="100">
        <f t="shared" si="16"/>
        <v>0</v>
      </c>
      <c r="U107" s="110"/>
      <c r="V107" s="110"/>
    </row>
    <row r="108" spans="1:22" s="101" customFormat="1" ht="14.25">
      <c r="A108" s="102" t="s">
        <v>239</v>
      </c>
      <c r="B108" s="100">
        <f>SUM(B107)</f>
        <v>0</v>
      </c>
      <c r="C108" s="100">
        <f aca="true" t="shared" si="18" ref="C108:R108">SUM(C107)</f>
        <v>0</v>
      </c>
      <c r="D108" s="100">
        <f t="shared" si="18"/>
        <v>0</v>
      </c>
      <c r="E108" s="100">
        <f t="shared" si="18"/>
        <v>0</v>
      </c>
      <c r="F108" s="100">
        <v>0</v>
      </c>
      <c r="G108" s="100">
        <f t="shared" si="18"/>
        <v>0</v>
      </c>
      <c r="H108" s="100">
        <v>0</v>
      </c>
      <c r="I108" s="100">
        <f>SUM(I107)</f>
        <v>0</v>
      </c>
      <c r="J108" s="100">
        <f t="shared" si="18"/>
        <v>0</v>
      </c>
      <c r="K108" s="100">
        <f t="shared" si="18"/>
        <v>0</v>
      </c>
      <c r="L108" s="100">
        <f>SUM(L107)</f>
        <v>0</v>
      </c>
      <c r="M108" s="100">
        <f t="shared" si="18"/>
        <v>0</v>
      </c>
      <c r="N108" s="100">
        <f t="shared" si="18"/>
        <v>0</v>
      </c>
      <c r="O108" s="100">
        <f t="shared" si="18"/>
        <v>0</v>
      </c>
      <c r="P108" s="100">
        <f t="shared" si="18"/>
        <v>0</v>
      </c>
      <c r="Q108" s="100">
        <f t="shared" si="18"/>
        <v>0</v>
      </c>
      <c r="R108" s="100">
        <f t="shared" si="18"/>
        <v>0</v>
      </c>
      <c r="S108" s="100">
        <v>0</v>
      </c>
      <c r="T108" s="100">
        <f>SUM(B108:S108)</f>
        <v>0</v>
      </c>
      <c r="U108" s="110"/>
      <c r="V108" s="110"/>
    </row>
    <row r="109" spans="1:22" s="101" customFormat="1" ht="14.25">
      <c r="A109" s="102" t="s">
        <v>240</v>
      </c>
      <c r="B109" s="100">
        <v>0</v>
      </c>
      <c r="C109" s="100">
        <v>0</v>
      </c>
      <c r="D109" s="100">
        <v>0</v>
      </c>
      <c r="E109" s="100">
        <v>0</v>
      </c>
      <c r="F109" s="100">
        <v>0</v>
      </c>
      <c r="G109" s="100">
        <v>0</v>
      </c>
      <c r="H109" s="100"/>
      <c r="I109" s="100">
        <v>0</v>
      </c>
      <c r="J109" s="100">
        <v>0</v>
      </c>
      <c r="K109" s="100">
        <v>0</v>
      </c>
      <c r="L109" s="100">
        <f>SUM(0)</f>
        <v>0</v>
      </c>
      <c r="M109" s="100">
        <v>0</v>
      </c>
      <c r="N109" s="100">
        <v>0</v>
      </c>
      <c r="O109" s="100">
        <v>0</v>
      </c>
      <c r="P109" s="100">
        <v>0</v>
      </c>
      <c r="Q109" s="100">
        <v>0</v>
      </c>
      <c r="R109" s="100">
        <v>0</v>
      </c>
      <c r="S109" s="100">
        <v>0</v>
      </c>
      <c r="T109" s="100">
        <f>SUM(B109:S109)</f>
        <v>0</v>
      </c>
      <c r="U109" s="110"/>
      <c r="V109" s="110"/>
    </row>
    <row r="110" spans="1:22" s="101" customFormat="1" ht="14.25">
      <c r="A110" s="102" t="s">
        <v>239</v>
      </c>
      <c r="B110" s="100">
        <f>SUM(B104+B92+B70+B66+B60+B50+B37+B23+B18+B10+B108+B28)</f>
        <v>400340.61</v>
      </c>
      <c r="C110" s="100">
        <f>SUM(C104+C92+C70+C66+C60+C50+C37+C23+C18+D10+C108+C28)</f>
        <v>146315</v>
      </c>
      <c r="D110" s="100">
        <f>SUM(D104+D92+D70+D66+D60+D50+D37+D23+D18+E10+D108+D28)</f>
        <v>0</v>
      </c>
      <c r="E110" s="100">
        <f aca="true" t="shared" si="19" ref="E110:R110">SUM(E104+E92+E70+E66+E60+E50+E37+E23+E18+E10+E108+E28)</f>
        <v>0</v>
      </c>
      <c r="F110" s="100">
        <f t="shared" si="19"/>
        <v>26220</v>
      </c>
      <c r="G110" s="100">
        <f t="shared" si="19"/>
        <v>141594</v>
      </c>
      <c r="H110" s="100">
        <f t="shared" si="19"/>
        <v>0</v>
      </c>
      <c r="I110" s="100">
        <f t="shared" si="19"/>
        <v>0</v>
      </c>
      <c r="J110" s="100">
        <f t="shared" si="19"/>
        <v>43860</v>
      </c>
      <c r="K110" s="100">
        <f t="shared" si="19"/>
        <v>0</v>
      </c>
      <c r="L110" s="100">
        <f>SUM(L10+L18+L28+L37+L50+L59+L66+L70+L92+L104+L108)</f>
        <v>24000</v>
      </c>
      <c r="M110" s="100">
        <f t="shared" si="19"/>
        <v>0</v>
      </c>
      <c r="N110" s="100">
        <f t="shared" si="19"/>
        <v>0</v>
      </c>
      <c r="O110" s="100">
        <f t="shared" si="19"/>
        <v>0</v>
      </c>
      <c r="P110" s="100">
        <f t="shared" si="19"/>
        <v>0</v>
      </c>
      <c r="Q110" s="100">
        <f t="shared" si="19"/>
        <v>17400</v>
      </c>
      <c r="R110" s="100">
        <f t="shared" si="19"/>
        <v>0</v>
      </c>
      <c r="S110" s="100">
        <f>SUM(S10+S18+S23+S28+S37+S50+S60+S66+S70+S92+S104)</f>
        <v>106340</v>
      </c>
      <c r="T110" s="100">
        <f>SUM(B110:S110)</f>
        <v>906069.61</v>
      </c>
      <c r="U110" s="110"/>
      <c r="V110" s="110"/>
    </row>
    <row r="111" spans="1:22" s="101" customFormat="1" ht="14.25">
      <c r="A111" s="102" t="s">
        <v>240</v>
      </c>
      <c r="B111" s="100">
        <f>SUM(B105+B93+B71+B67+B61+B51+B38+B24+B19+B11+B109+B29)</f>
        <v>400340.61</v>
      </c>
      <c r="C111" s="100">
        <f>SUM(C105+C93+C71+C67+C61+C51+C38+C24+C19+C11+C109+C29)</f>
        <v>146315</v>
      </c>
      <c r="D111" s="100">
        <f>SUM(D105+D93+D71+D67+D61+D51+D38+D24+D19+D11+D109+D29)</f>
        <v>0</v>
      </c>
      <c r="E111" s="100">
        <f>SUM(E105+E93+E71+E67+E61+E51+E38+E24+E19+E11+E109+E29)</f>
        <v>0</v>
      </c>
      <c r="F111" s="100">
        <f>SUM(F105+F93+F71+F67+F61+F51+F38+F24+F19+F11+F109+F29)</f>
        <v>26220</v>
      </c>
      <c r="G111" s="100">
        <f>SUM(G71+G38+G29+G24+G19+G11+G51+G105+G61+G67+G93+G109)</f>
        <v>141594</v>
      </c>
      <c r="H111" s="100">
        <f>SUM(H105+H93+H71+H67+H61+H51+H38+H24+H19+H11+H109+H29)</f>
        <v>0</v>
      </c>
      <c r="I111" s="100">
        <f>SUM(I11+I19+I24+I29+I38+I51+I61+I67+I71+I93+I105+I109)</f>
        <v>0</v>
      </c>
      <c r="J111" s="100">
        <f>SUM(J105+J93+J71+J67+J61+J51+J38+J24+J19+J11+J109+J29)</f>
        <v>43860</v>
      </c>
      <c r="K111" s="100">
        <f>SUM(K105+K93+K71+K67+K61+K51+K38+K24+K19+K11+K109+K29)</f>
        <v>0</v>
      </c>
      <c r="L111" s="100">
        <f>SUM(L11+L19+L24+L29+L38+L51+L61+L67+L71+L92+L105+L109)</f>
        <v>24000</v>
      </c>
      <c r="M111" s="100">
        <f>SUM(M105+M93+M71+M67+M61+M51+M38+M24+M19+M11+M109+M29)</f>
        <v>0</v>
      </c>
      <c r="N111" s="100">
        <f>SUM(N105+N93+N71+N67+N61+N51+N38+N24+N19+N11+N109+N29)</f>
        <v>0</v>
      </c>
      <c r="O111" s="100">
        <f>SUM(O105+O93+O71+O67+O61+O51+O38+O29+O24+O19+O11)</f>
        <v>0</v>
      </c>
      <c r="P111" s="100">
        <f>SUM(P105+P93+P71+P67+P61+P51+P38+P24+P19+P11+P109+P29)</f>
        <v>0</v>
      </c>
      <c r="Q111" s="100">
        <f>SUM(Q105+Q93+Q71+Q67+Q61+Q51+Q38+Q24+Q19+Q11+Q109+Q29)</f>
        <v>17400</v>
      </c>
      <c r="R111" s="100">
        <f>SUM(R105+R93+R71+R67+R61+R51+R38+R24+R19+R11+R109+R29)</f>
        <v>0</v>
      </c>
      <c r="S111" s="100">
        <f>SUM(S11+S19+S24+S29+S38+S51+S61+S67+S71+S93+S105)</f>
        <v>106340</v>
      </c>
      <c r="T111" s="100">
        <f>SUM(B111:S111)</f>
        <v>906069.61</v>
      </c>
      <c r="U111" s="110"/>
      <c r="V111" s="110"/>
    </row>
    <row r="113" spans="1:20" ht="16.5">
      <c r="A113" s="235"/>
      <c r="B113" s="235"/>
      <c r="C113" s="235"/>
      <c r="D113" s="14"/>
      <c r="E113" s="235"/>
      <c r="F113" s="235"/>
      <c r="G113" s="235"/>
      <c r="I113" s="235"/>
      <c r="J113" s="235"/>
      <c r="K113" s="235"/>
      <c r="L113" s="14"/>
      <c r="N113" s="235"/>
      <c r="O113" s="235"/>
      <c r="P113" s="235"/>
      <c r="Q113" s="235"/>
      <c r="R113" s="235"/>
      <c r="T113" s="25"/>
    </row>
    <row r="114" spans="1:20" ht="16.5">
      <c r="A114" s="235"/>
      <c r="B114" s="235"/>
      <c r="C114" s="235"/>
      <c r="D114" s="14"/>
      <c r="E114" s="235"/>
      <c r="F114" s="235"/>
      <c r="G114" s="235"/>
      <c r="I114" s="235"/>
      <c r="J114" s="235"/>
      <c r="K114" s="235"/>
      <c r="L114" s="14"/>
      <c r="N114" s="235"/>
      <c r="O114" s="235"/>
      <c r="P114" s="235"/>
      <c r="Q114" s="235"/>
      <c r="R114" s="235"/>
      <c r="T114" s="25"/>
    </row>
    <row r="115" spans="1:18" ht="16.5">
      <c r="A115" s="235"/>
      <c r="B115" s="235"/>
      <c r="C115" s="235"/>
      <c r="D115" s="14"/>
      <c r="E115" s="235"/>
      <c r="F115" s="235"/>
      <c r="G115" s="235"/>
      <c r="H115" s="197"/>
      <c r="I115" s="197"/>
      <c r="J115" s="197"/>
      <c r="K115" s="197"/>
      <c r="L115" s="197"/>
      <c r="N115" s="235"/>
      <c r="O115" s="235"/>
      <c r="P115" s="235"/>
      <c r="Q115" s="235"/>
      <c r="R115" s="235"/>
    </row>
    <row r="116" spans="1:18" ht="16.5">
      <c r="A116" s="235"/>
      <c r="B116" s="235"/>
      <c r="C116" s="235"/>
      <c r="D116" s="14"/>
      <c r="N116" s="235"/>
      <c r="O116" s="235"/>
      <c r="P116" s="235"/>
      <c r="Q116" s="235"/>
      <c r="R116" s="235"/>
    </row>
  </sheetData>
  <sheetProtection/>
  <mergeCells count="42">
    <mergeCell ref="L4:M4"/>
    <mergeCell ref="L80:M80"/>
    <mergeCell ref="L43:M43"/>
    <mergeCell ref="A42:T42"/>
    <mergeCell ref="T80:T81"/>
    <mergeCell ref="D43:E43"/>
    <mergeCell ref="T4:T5"/>
    <mergeCell ref="Q80:R80"/>
    <mergeCell ref="J43:K43"/>
    <mergeCell ref="N43:O43"/>
    <mergeCell ref="Q4:R4"/>
    <mergeCell ref="F4:G4"/>
    <mergeCell ref="J4:K4"/>
    <mergeCell ref="J80:K80"/>
    <mergeCell ref="N80:O80"/>
    <mergeCell ref="A1:T1"/>
    <mergeCell ref="A2:T2"/>
    <mergeCell ref="A3:T3"/>
    <mergeCell ref="B4:C4"/>
    <mergeCell ref="D4:E4"/>
    <mergeCell ref="Q43:R43"/>
    <mergeCell ref="T43:T44"/>
    <mergeCell ref="N4:O4"/>
    <mergeCell ref="F43:G43"/>
    <mergeCell ref="B43:C43"/>
    <mergeCell ref="A79:T79"/>
    <mergeCell ref="B80:C80"/>
    <mergeCell ref="D80:E80"/>
    <mergeCell ref="F80:G80"/>
    <mergeCell ref="I114:K114"/>
    <mergeCell ref="N114:R114"/>
    <mergeCell ref="A113:C113"/>
    <mergeCell ref="A116:C116"/>
    <mergeCell ref="N116:R116"/>
    <mergeCell ref="E113:G113"/>
    <mergeCell ref="I113:K113"/>
    <mergeCell ref="N113:R113"/>
    <mergeCell ref="A115:C115"/>
    <mergeCell ref="N115:R115"/>
    <mergeCell ref="E115:G115"/>
    <mergeCell ref="A114:C114"/>
    <mergeCell ref="E114:G114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</dc:creator>
  <cp:keywords/>
  <dc:description/>
  <cp:lastModifiedBy>DarkUser</cp:lastModifiedBy>
  <cp:lastPrinted>2014-06-13T03:57:16Z</cp:lastPrinted>
  <dcterms:created xsi:type="dcterms:W3CDTF">2004-02-04T07:28:13Z</dcterms:created>
  <dcterms:modified xsi:type="dcterms:W3CDTF">2014-06-13T04:16:13Z</dcterms:modified>
  <cp:category/>
  <cp:version/>
  <cp:contentType/>
  <cp:contentStatus/>
</cp:coreProperties>
</file>