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<sst xmlns="http://schemas.openxmlformats.org/spreadsheetml/2006/main" count="598" uniqueCount="382">
  <si>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</si>
  <si>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</si>
  <si>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</si>
  <si>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</si>
  <si>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</si>
  <si>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</si>
  <si>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</si>
  <si>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</si>
  <si>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</si>
  <si>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</si>
  <si>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</si>
  <si>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</si>
  <si>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</si>
  <si>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</si>
  <si>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</si>
  <si>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</si>
  <si>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</si>
  <si>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</si>
  <si>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</si>
  <si>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</si>
  <si>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</si>
  <si>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</si>
  <si>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</si>
  <si>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</si>
  <si>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</si>
  <si>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</si>
  <si>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</si>
  <si>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</si>
  <si>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</si>
  <si>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</si>
  <si>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</si>
  <si>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</si>
  <si>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</si>
  <si>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</si>
  <si>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</si>
  <si>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</si>
  <si>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</si>
  <si>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</si>
  <si>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</si>
  <si>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</si>
  <si>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</si>
  <si>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</si>
  <si>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</si>
  <si>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</si>
  <si>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</si>
  <si>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</si>
  <si>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</si>
  <si>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</si>
  <si>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</si>
  <si>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</si>
  <si>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</si>
  <si>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</si>
  <si>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</si>
  <si>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</si>
  <si>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</si>
  <si>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</si>
  <si>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</si>
  <si>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</si>
  <si>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</si>
  <si>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</si>
  <si>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</si>
  <si>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</si>
  <si>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</si>
  <si>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</si>
  <si>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</si>
  <si>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</si>
  <si>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</si>
  <si>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</si>
  <si>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</si>
  <si>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</si>
  <si>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</si>
  <si>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</si>
  <si>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</si>
  <si>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</si>
  <si>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</si>
  <si>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</si>
  <si>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</si>
  <si>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</si>
  <si>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</si>
  <si>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</si>
  <si>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</si>
  <si>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</si>
  <si>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</si>
  <si>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</si>
  <si>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</si>
  <si>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</si>
  <si>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</si>
  <si>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</si>
  <si>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</si>
  <si>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</si>
  <si>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</si>
  <si>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</si>
  <si>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</si>
  <si>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</si>
  <si>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</si>
  <si>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</si>
  <si>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</si>
  <si>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</si>
  <si>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</si>
  <si>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</si>
  <si>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</si>
  <si>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</si>
  <si>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</si>
  <si>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</si>
  <si>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</si>
  <si>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</si>
  <si>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</si>
  <si>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</si>
  <si>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</si>
  <si>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</si>
  <si>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</si>
  <si>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</si>
  <si>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</si>
  <si>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</si>
  <si>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</si>
  <si>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</si>
  <si>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</si>
  <si>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</si>
  <si>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</si>
  <si>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</si>
  <si>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</si>
  <si>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</si>
  <si>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</si>
  <si>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</si>
  <si>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</si>
  <si>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</si>
  <si>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</si>
  <si>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</si>
  <si>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</si>
  <si>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</si>
  <si>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</si>
  <si>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</si>
  <si>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</si>
  <si>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</si>
  <si>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</si>
  <si>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</si>
  <si>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</si>
  <si>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</si>
  <si>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</si>
  <si>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</si>
  <si>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</si>
  <si>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</si>
  <si>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</si>
  <si>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</si>
  <si>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</si>
  <si>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</si>
  <si>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</si>
  <si>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</si>
  <si>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</si>
  <si>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</si>
  <si>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</si>
  <si>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</si>
  <si>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</si>
  <si>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</si>
  <si>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</si>
  <si>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</si>
  <si>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</si>
  <si>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</si>
  <si>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</si>
  <si>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</si>
  <si>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</si>
  <si>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</si>
  <si>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</si>
  <si>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</si>
  <si>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</si>
  <si>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</si>
  <si>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</si>
  <si>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 xml:space="preserve">รายละเอียด  (หัก) 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</si>
  <si>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</si>
  <si>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</si>
  <si>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</si>
  <si>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</si>
  <si>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ตำแหน่ง  หัวหน้าส่วนการคลัง อบต.โคกตูม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</si>
  <si>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</si>
  <si>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</si>
  <si>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</si>
  <si>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</si>
  <si>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</si>
  <si>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</si>
  <si>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</si>
  <si>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</si>
  <si>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</si>
  <si>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</si>
  <si>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</si>
  <si>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</si>
  <si>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</si>
  <si>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</si>
  <si>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</si>
  <si>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</si>
  <si>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</si>
  <si>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รายรับ</t>
  </si>
  <si>
    <t>เงินรายได้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</si>
  <si>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</si>
  <si>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</si>
  <si>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</si>
  <si>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</si>
  <si>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เงินเฉพาะกิจ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</si>
  <si>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</si>
  <si>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</si>
  <si>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</si>
  <si>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</si>
  <si>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</si>
  <si>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</si>
  <si>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</si>
  <si>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</si>
  <si>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</si>
  <si>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</si>
  <si>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</si>
  <si>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</si>
  <si>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</si>
  <si>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</si>
  <si>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</si>
  <si>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</si>
  <si>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</si>
  <si>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</si>
  <si>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</si>
  <si>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</si>
  <si>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</si>
  <si>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</si>
  <si>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</si>
  <si>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</si>
  <si>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</si>
  <si>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</si>
  <si>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</si>
  <si>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</si>
  <si>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</si>
  <si>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</si>
  <si>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</si>
  <si>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</si>
  <si>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</si>
  <si>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</si>
  <si>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</si>
  <si>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</si>
  <si>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</si>
  <si>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</si>
  <si>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</si>
  <si>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</si>
  <si>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</si>
  <si>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</si>
  <si>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</si>
  <si>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</si>
  <si>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</si>
  <si>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</si>
  <si>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</si>
  <si>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</si>
  <si>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</si>
  <si>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</si>
  <si>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</si>
  <si>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</si>
  <si>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</si>
  <si>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</si>
  <si>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</si>
  <si>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</si>
  <si>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</si>
  <si>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</si>
  <si>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</si>
  <si>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</si>
  <si>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</si>
  <si>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</si>
  <si>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</si>
  <si>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</si>
  <si>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</si>
  <si>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</si>
  <si>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</si>
  <si>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</si>
  <si>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</si>
  <si>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</si>
  <si>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</si>
  <si>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</si>
  <si>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</si>
  <si>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</si>
  <si>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</si>
  <si>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</si>
  <si>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</si>
  <si>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</si>
  <si>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</si>
  <si>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</si>
  <si>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</si>
  <si>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</si>
  <si>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</si>
  <si>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</si>
  <si>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</si>
  <si>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</si>
  <si>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</si>
  <si>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</si>
  <si>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</si>
  <si>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</si>
  <si>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</si>
  <si>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</si>
  <si>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</si>
  <si>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</si>
  <si>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ธนาคารเพื่อการเกษตรและสหกรณ์การเกษตร</t>
  </si>
  <si>
    <t>เลขที่บัญชี  340-2-48197-3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</si>
  <si>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</si>
  <si>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</si>
  <si>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</si>
  <si>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</si>
  <si>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</si>
  <si>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</si>
  <si>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</si>
  <si>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รายละเอียด  (หัก)  เช็คยังไม่จ่ายผู้รับเงิน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</si>
  <si>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</si>
  <si>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</si>
  <si>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</si>
  <si>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</si>
  <si>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</si>
  <si>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</si>
  <si>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</si>
  <si>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</si>
  <si>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</si>
  <si>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>ยกไปช่องซ้ายมือ</t>
  </si>
  <si>
    <t>step 3</t>
  </si>
  <si>
    <t>step 1 ยกมาจากเดือนก่อน</t>
  </si>
  <si>
    <t xml:space="preserve">  - </t>
  </si>
  <si>
    <t xml:space="preserve"> 5550</t>
  </si>
  <si>
    <t>6550</t>
  </si>
  <si>
    <t>บัญชีรายจ่ายผัดส่งใบสำคัญ</t>
  </si>
  <si>
    <t>เลขที่บัญชี  316-0-00650-6</t>
  </si>
  <si>
    <t xml:space="preserve"> -ภาษีมูลค่าเพิ่ม </t>
  </si>
  <si>
    <t>ตำแหน่ง  นักวิชาการเงินและบัญชี</t>
  </si>
  <si>
    <t>ตำแหน่ง นักวิชาการเงินและบัญชี</t>
  </si>
  <si>
    <t xml:space="preserve">ธนาคารออมสิน  </t>
  </si>
  <si>
    <t>ดอกเบี้ยเงินฝากยังไม่ได้บันทึกบัญชี</t>
  </si>
  <si>
    <t>เลขที่บัญชี   06-4304-34-001457-0</t>
  </si>
  <si>
    <t xml:space="preserve"> -ค่าใบอนุญาตอื่น ๆ</t>
  </si>
  <si>
    <t>0148</t>
  </si>
  <si>
    <t xml:space="preserve">วันที่  30  กันยายน   2554 </t>
  </si>
  <si>
    <t>ยอดคงเหลือตามรายงานธนาคาร ณ วันที่  30  กันยายน พ.ศ. 2554</t>
  </si>
  <si>
    <t>ยอดคงเหลือตามบัญชี ณ วันที่ วันที่ 30  กันยายน พ.ศ. 2554</t>
  </si>
  <si>
    <t>วันที่  30  กันยายน  2554</t>
  </si>
  <si>
    <t>วันที่  30 กันยายน   2554</t>
  </si>
  <si>
    <t xml:space="preserve">ยอดคงเหลือตามรายงานธนาคาร ณ วันที่  30  กันยายน 2554 </t>
  </si>
  <si>
    <t xml:space="preserve">ยอดคงเหลือตามบัญชี ณ วันที่  30   กันยายน   2554  </t>
  </si>
  <si>
    <t>00251</t>
  </si>
  <si>
    <t>ปีงบประมาณ 2556</t>
  </si>
  <si>
    <t>บัญชีรายจ่ายค้างจ่าย (หมายเหตุ3)</t>
  </si>
  <si>
    <t>บัญชีรายจ่ายรอจ่าย (หมายเหตุ 4)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</si>
  <si>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</si>
  <si>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</si>
  <si>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</si>
  <si>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</si>
  <si>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</si>
  <si>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</si>
  <si>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</si>
  <si>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</si>
  <si>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</si>
  <si>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</si>
  <si>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</si>
  <si>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</si>
  <si>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</si>
  <si>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ที่ดินและสิ่งก่อสร้าง / อาคารศูนย์พัฒนาเด็กเล็กตำบลโคกตู ม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</si>
  <si>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</si>
  <si>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</si>
  <si>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</si>
  <si>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</si>
  <si>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</si>
  <si>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</si>
  <si>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</si>
  <si>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</si>
  <si>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</si>
  <si>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</si>
  <si>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</si>
  <si>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 xml:space="preserve"> -เงินอุดหนุนเฉพาะกิจตามโครงการสร้างหลักประกันรายได้ให้แก่ผู้สูงอายุ</t>
  </si>
  <si>
    <t xml:space="preserve"> - เงินอุดหนุนเฉพาะกิจค่าตอบแทนครูผู้ดูแลเด็กศูนย์พัฒนาเด็กเล็ก</t>
  </si>
  <si>
    <t>เรื่อง  รายงานแสดงรายรับรายจ่ายและงบทดลอง  ประจำเดือนมกราคม  2556</t>
  </si>
  <si>
    <t>ประจำเดือนมกราคม พ.ศ. 2556 ตามที่แนบท้ายประกาศนี้</t>
  </si>
  <si>
    <t xml:space="preserve">       ณ  วันที่ 31 มกราคม  พ.ศ.  2556</t>
  </si>
  <si>
    <t>บัญชีเงินรายรับ  (หมายเหตุ 1)  ณ  วันที่ 31 มกราคม  พ.ศ. 2556</t>
  </si>
  <si>
    <t>บัญชีเงินรับฝาก  (หมายเหตุ 2)  ณ  วันที่ 31  มกราคม พ.ศ. 2556</t>
  </si>
  <si>
    <t>ประจำเดือน มกราคม  2556</t>
  </si>
  <si>
    <t>ประจำเดือนมกราคม   2556</t>
  </si>
  <si>
    <t>บัญชีรายจ่ายค้างจ่าย   (หมายเหตุ3)   ณ  วันที่  31 มกราคม  พ.ศ. 2556</t>
  </si>
  <si>
    <t>บัญชีรายจ่ายรอจ่าย  (หมายเหตุ 4)   ณ  วันที่  31  มกราคม  พ.ศ. 2556</t>
  </si>
  <si>
    <t>ยอดคงเหลือตามรายงานธนาคาร ณ วันที่  31 มกราคม  2556</t>
  </si>
  <si>
    <t>ยอดคงเหลือตามบัญชี ณ วันที่  31  มกราคม  2556</t>
  </si>
  <si>
    <t>วันที่  31  มกราคม  2556</t>
  </si>
  <si>
    <t xml:space="preserve">   17  มกราคม  2556</t>
  </si>
  <si>
    <t>0098340</t>
  </si>
  <si>
    <t xml:space="preserve"> 30  มกราคม  2556</t>
  </si>
  <si>
    <t>0105305</t>
  </si>
  <si>
    <t>0105306</t>
  </si>
  <si>
    <t>ประกาศ  ณ  วันที่     4     กุมภาพันธ์ 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</si>
</sst>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1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ngsana New"/>
      <family val="1"/>
    </font>
    <font>
      <b/>
      <sz val="18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0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0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10"/>
      <color indexed="10"/>
      <name val="Angsana New"/>
      <family val="1"/>
    </font>
    <font>
      <sz val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21" borderId="1" applyNumberFormat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5" borderId="5" applyNumberFormat="0" applyAlignment="0" applyProtection="0"/>
    <xf numFmtId="0" fontId="0" fillId="26" borderId="6" applyNumberFormat="0" applyFont="0" applyAlignment="0" applyProtection="0"/>
    <xf numFmtId="0" fontId="13" fillId="27" borderId="0" applyNumberFormat="0" applyBorder="0" applyAlignment="0" applyProtection="0"/>
    <xf numFmtId="0" fontId="0" fillId="27" borderId="7" applyNumberFormat="0" applyFont="0" applyAlignment="0" applyProtection="0"/>
    <xf numFmtId="0" fontId="16" fillId="28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6" fillId="29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1" applyNumberFormat="0" applyAlignment="0" applyProtection="0"/>
    <xf numFmtId="0" fontId="61" fillId="0" borderId="12" applyNumberFormat="0" applyFill="0" applyAlignment="0" applyProtection="0"/>
    <xf numFmtId="0" fontId="62" fillId="31" borderId="0" applyNumberFormat="0" applyBorder="0" applyAlignment="0" applyProtection="0"/>
    <xf numFmtId="0" fontId="63" fillId="32" borderId="10" applyNumberFormat="0" applyAlignment="0" applyProtection="0"/>
    <xf numFmtId="0" fontId="64" fillId="33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67" fillId="29" borderId="14" applyNumberFormat="0" applyAlignment="0" applyProtection="0"/>
    <xf numFmtId="0" fontId="0" fillId="41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43" fontId="2" fillId="0" borderId="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15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8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9" xfId="0" applyFont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49" fontId="26" fillId="0" borderId="43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9" xfId="0" applyFont="1" applyBorder="1" applyAlignment="1">
      <alignment/>
    </xf>
    <xf numFmtId="43" fontId="26" fillId="0" borderId="40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4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5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6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8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43" fontId="2" fillId="0" borderId="33" xfId="57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1" fillId="0" borderId="47" xfId="0" applyFont="1" applyBorder="1" applyAlignment="1" quotePrefix="1">
      <alignment horizontal="center"/>
    </xf>
    <xf numFmtId="43" fontId="1" fillId="0" borderId="48" xfId="57" applyFont="1" applyBorder="1" applyAlignment="1">
      <alignment/>
    </xf>
    <xf numFmtId="15" fontId="1" fillId="0" borderId="49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6" xfId="0" applyFont="1" applyBorder="1" applyAlignment="1">
      <alignment/>
    </xf>
    <xf numFmtId="59" fontId="1" fillId="0" borderId="48" xfId="0" applyNumberFormat="1" applyFont="1" applyBorder="1" applyAlignment="1" quotePrefix="1">
      <alignment horizontal="center"/>
    </xf>
    <xf numFmtId="43" fontId="29" fillId="0" borderId="50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51" xfId="57" applyFont="1" applyBorder="1" applyAlignment="1">
      <alignment/>
    </xf>
    <xf numFmtId="0" fontId="24" fillId="0" borderId="0" xfId="0" applyFont="1" applyAlignment="1">
      <alignment horizontal="left"/>
    </xf>
    <xf numFmtId="0" fontId="6" fillId="0" borderId="45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2" xfId="57" applyFont="1" applyBorder="1" applyAlignment="1">
      <alignment/>
    </xf>
    <xf numFmtId="0" fontId="6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36" fillId="0" borderId="2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2" xfId="0" applyFont="1" applyBorder="1" applyAlignment="1">
      <alignment horizontal="center"/>
    </xf>
    <xf numFmtId="43" fontId="2" fillId="0" borderId="43" xfId="57" applyFont="1" applyBorder="1" applyAlignment="1">
      <alignment/>
    </xf>
    <xf numFmtId="0" fontId="2" fillId="0" borderId="43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43" fontId="35" fillId="0" borderId="19" xfId="57" applyFont="1" applyBorder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5" fontId="21" fillId="0" borderId="29" xfId="0" applyNumberFormat="1" applyFont="1" applyBorder="1" applyAlignment="1">
      <alignment horizontal="left"/>
    </xf>
    <xf numFmtId="15" fontId="1" fillId="0" borderId="30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3" fontId="26" fillId="42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95250</xdr:rowOff>
    </xdr:from>
    <xdr:to>
      <xdr:col>6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14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17</xdr:row>
      <xdr:rowOff>114300</xdr:rowOff>
    </xdr:from>
    <xdr:to>
      <xdr:col>8</xdr:col>
      <xdr:colOff>428625</xdr:colOff>
      <xdr:row>19</xdr:row>
      <xdr:rowOff>104775</xdr:rowOff>
    </xdr:to>
    <xdr:pic>
      <xdr:nvPicPr>
        <xdr:cNvPr id="2" name="Picture 185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33775" y="45624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5" spans="2:11" ht="23.25">
      <c r="B5" s="227" t="s">
        <v>270</v>
      </c>
      <c r="C5" s="227"/>
      <c r="D5" s="227"/>
      <c r="E5" s="227"/>
      <c r="F5" s="227"/>
      <c r="G5" s="227"/>
      <c r="H5" s="227"/>
      <c r="I5" s="227"/>
      <c r="J5" s="227"/>
      <c r="K5" s="227"/>
    </row>
    <row r="6" spans="2:11" ht="23.25">
      <c r="B6" s="227" t="s">
        <v>364</v>
      </c>
      <c r="C6" s="227"/>
      <c r="D6" s="227"/>
      <c r="E6" s="227"/>
      <c r="F6" s="227"/>
      <c r="G6" s="227"/>
      <c r="H6" s="227"/>
      <c r="I6" s="227"/>
      <c r="J6" s="227"/>
      <c r="K6" s="227"/>
    </row>
    <row r="7" spans="2:11" ht="23.25">
      <c r="B7" s="227" t="s">
        <v>271</v>
      </c>
      <c r="C7" s="227"/>
      <c r="D7" s="227"/>
      <c r="E7" s="227"/>
      <c r="F7" s="227"/>
      <c r="G7" s="227"/>
      <c r="H7" s="227"/>
      <c r="I7" s="227"/>
      <c r="J7" s="227"/>
      <c r="K7" s="227"/>
    </row>
    <row r="9" ht="23.25">
      <c r="C9" s="1" t="s">
        <v>272</v>
      </c>
    </row>
    <row r="10" ht="23.25">
      <c r="B10" s="1" t="s">
        <v>273</v>
      </c>
    </row>
    <row r="11" ht="23.25">
      <c r="B11" s="1" t="s">
        <v>274</v>
      </c>
    </row>
    <row r="12" ht="23.25">
      <c r="B12" s="1" t="s">
        <v>275</v>
      </c>
    </row>
    <row r="14" ht="23.25">
      <c r="C14" s="1" t="s">
        <v>276</v>
      </c>
    </row>
    <row r="15" ht="23.25">
      <c r="B15" s="1" t="s">
        <v>365</v>
      </c>
    </row>
    <row r="17" ht="23.25">
      <c r="D17" s="1" t="s">
        <v>381</v>
      </c>
    </row>
    <row r="21" spans="6:9" ht="23.25">
      <c r="F21" s="227" t="s">
        <v>201</v>
      </c>
      <c r="G21" s="227"/>
      <c r="H21" s="227"/>
      <c r="I21" s="227"/>
    </row>
    <row r="22" spans="6:9" ht="23.25">
      <c r="F22" s="227" t="s">
        <v>107</v>
      </c>
      <c r="G22" s="227"/>
      <c r="H22" s="227"/>
      <c r="I22" s="227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SheetLayoutView="100" zoomScalePageLayoutView="0" workbookViewId="0" topLeftCell="A1">
      <selection activeCell="A52" sqref="A52:IV72"/>
    </sheetView>
  </sheetViews>
  <sheetFormatPr defaultColWidth="9.140625" defaultRowHeight="12.75"/>
  <cols>
    <col min="1" max="1" width="37.00390625" style="111" customWidth="1"/>
    <col min="2" max="2" width="7.57421875" style="111" customWidth="1"/>
    <col min="3" max="3" width="20.421875" style="112" customWidth="1"/>
    <col min="4" max="4" width="22.8515625" style="112" customWidth="1"/>
    <col min="5" max="5" width="16.7109375" style="111" customWidth="1"/>
    <col min="6" max="6" width="13.421875" style="112" customWidth="1"/>
    <col min="7" max="7" width="11.8515625" style="111" customWidth="1"/>
    <col min="8" max="9" width="12.00390625" style="111" bestFit="1" customWidth="1"/>
    <col min="10" max="16384" width="9.140625" style="111" customWidth="1"/>
  </cols>
  <sheetData>
    <row r="1" spans="1:4" ht="18.75">
      <c r="A1" s="228" t="s">
        <v>84</v>
      </c>
      <c r="B1" s="228"/>
      <c r="C1" s="228"/>
      <c r="D1" s="228"/>
    </row>
    <row r="2" spans="1:4" ht="18.75">
      <c r="A2" s="228" t="s">
        <v>113</v>
      </c>
      <c r="B2" s="228"/>
      <c r="C2" s="228"/>
      <c r="D2" s="228"/>
    </row>
    <row r="3" spans="1:4" ht="18.75">
      <c r="A3" s="228" t="s">
        <v>366</v>
      </c>
      <c r="B3" s="228"/>
      <c r="C3" s="228"/>
      <c r="D3" s="228"/>
    </row>
    <row r="4" spans="1:8" ht="18.75">
      <c r="A4" s="113" t="s">
        <v>85</v>
      </c>
      <c r="B4" s="113" t="s">
        <v>86</v>
      </c>
      <c r="C4" s="114" t="s">
        <v>87</v>
      </c>
      <c r="D4" s="114" t="s">
        <v>88</v>
      </c>
      <c r="E4" s="184"/>
      <c r="F4" s="185"/>
      <c r="H4" s="110"/>
    </row>
    <row r="5" spans="1:9" ht="18.75">
      <c r="A5" s="115" t="s">
        <v>89</v>
      </c>
      <c r="B5" s="116" t="s">
        <v>104</v>
      </c>
      <c r="C5" s="103">
        <f>SUM(-675-46+721)</f>
        <v>0</v>
      </c>
      <c r="D5" s="103"/>
      <c r="E5" s="117"/>
      <c r="F5" s="195"/>
      <c r="G5" s="118"/>
      <c r="H5" s="119"/>
      <c r="I5" s="119"/>
    </row>
    <row r="6" spans="1:8" ht="18.75">
      <c r="A6" s="115" t="s">
        <v>197</v>
      </c>
      <c r="B6" s="116" t="s">
        <v>198</v>
      </c>
      <c r="C6" s="103">
        <f>SUM(0)</f>
        <v>0</v>
      </c>
      <c r="D6" s="103"/>
      <c r="E6" s="117"/>
      <c r="F6" s="196"/>
      <c r="G6" s="118"/>
      <c r="H6" s="119"/>
    </row>
    <row r="7" spans="1:9" ht="18.75">
      <c r="A7" s="120" t="s">
        <v>108</v>
      </c>
      <c r="B7" s="116" t="s">
        <v>114</v>
      </c>
      <c r="C7" s="103">
        <f>SUM(541930.98-1726106.11-1555809.79-533981.65+3276404.57)</f>
        <v>2438</v>
      </c>
      <c r="D7" s="103"/>
      <c r="E7" s="192"/>
      <c r="F7" s="195"/>
      <c r="G7" s="118"/>
      <c r="I7" s="119"/>
    </row>
    <row r="8" spans="1:7" ht="18.75">
      <c r="A8" s="120" t="s">
        <v>90</v>
      </c>
      <c r="B8" s="116" t="s">
        <v>115</v>
      </c>
      <c r="C8" s="103">
        <f>SUM(7973151.55-789688.41)</f>
        <v>7183463.14</v>
      </c>
      <c r="D8" s="103"/>
      <c r="E8" s="192"/>
      <c r="F8" s="195"/>
      <c r="G8" s="118"/>
    </row>
    <row r="9" spans="1:7" ht="18.75">
      <c r="A9" s="120" t="s">
        <v>92</v>
      </c>
      <c r="B9" s="116" t="s">
        <v>116</v>
      </c>
      <c r="C9" s="103">
        <f>SUM(225184.74)</f>
        <v>225184.74</v>
      </c>
      <c r="D9" s="103"/>
      <c r="E9" s="192"/>
      <c r="F9" s="195"/>
      <c r="G9" s="118"/>
    </row>
    <row r="10" spans="1:8" ht="18.75">
      <c r="A10" s="120" t="s">
        <v>1</v>
      </c>
      <c r="B10" s="116" t="s">
        <v>2</v>
      </c>
      <c r="C10" s="103">
        <f>SUM(7481517.02+1726106.11+675+46+1555809.79+533981.65-656540.88+4630)</f>
        <v>10646224.689999998</v>
      </c>
      <c r="D10" s="103"/>
      <c r="E10" s="193"/>
      <c r="F10" s="195"/>
      <c r="G10" s="118"/>
      <c r="H10" s="119"/>
    </row>
    <row r="11" spans="1:7" ht="18.75">
      <c r="A11" s="120" t="s">
        <v>91</v>
      </c>
      <c r="B11" s="116" t="s">
        <v>150</v>
      </c>
      <c r="C11" s="103">
        <f>SUM(1005693.64+989.89)</f>
        <v>1006683.53</v>
      </c>
      <c r="D11" s="103"/>
      <c r="E11" s="192"/>
      <c r="F11" s="195"/>
      <c r="G11" s="118"/>
    </row>
    <row r="12" spans="1:7" ht="18.75">
      <c r="A12" s="120" t="s">
        <v>149</v>
      </c>
      <c r="B12" s="116" t="s">
        <v>151</v>
      </c>
      <c r="C12" s="103">
        <f>SUM(7698237.08)</f>
        <v>7698237.08</v>
      </c>
      <c r="D12" s="103"/>
      <c r="E12" s="192"/>
      <c r="F12" s="195"/>
      <c r="G12" s="118"/>
    </row>
    <row r="13" spans="1:7" ht="18.75">
      <c r="A13" s="120" t="s">
        <v>293</v>
      </c>
      <c r="B13" s="116" t="s">
        <v>294</v>
      </c>
      <c r="C13" s="103">
        <v>0</v>
      </c>
      <c r="D13" s="103"/>
      <c r="E13" s="118"/>
      <c r="F13" s="118"/>
      <c r="G13" s="118"/>
    </row>
    <row r="14" spans="1:7" ht="18.75">
      <c r="A14" s="120" t="s">
        <v>93</v>
      </c>
      <c r="B14" s="116" t="s">
        <v>117</v>
      </c>
      <c r="C14" s="103">
        <f>SUM(110000-1440+62304)</f>
        <v>170864</v>
      </c>
      <c r="D14" s="103"/>
      <c r="F14" s="118"/>
      <c r="G14" s="118"/>
    </row>
    <row r="15" spans="1:8" ht="18.75">
      <c r="A15" s="120" t="s">
        <v>93</v>
      </c>
      <c r="B15" s="116" t="s">
        <v>181</v>
      </c>
      <c r="C15" s="103">
        <f>SUM(28000+4500)</f>
        <v>32500</v>
      </c>
      <c r="D15" s="103"/>
      <c r="E15" s="119"/>
      <c r="F15" s="118"/>
      <c r="G15" s="118"/>
      <c r="H15" s="119"/>
    </row>
    <row r="16" spans="1:7" ht="18.75">
      <c r="A16" s="120" t="s">
        <v>94</v>
      </c>
      <c r="B16" s="121">
        <v>5100</v>
      </c>
      <c r="C16" s="103">
        <f>SUM(854038.06+295808.39)</f>
        <v>1149846.4500000002</v>
      </c>
      <c r="D16" s="103"/>
      <c r="F16" s="118"/>
      <c r="G16" s="118"/>
    </row>
    <row r="17" spans="1:7" ht="18.75">
      <c r="A17" s="120" t="s">
        <v>95</v>
      </c>
      <c r="B17" s="121">
        <v>5120</v>
      </c>
      <c r="C17" s="103">
        <f>SUM(45000+15000)</f>
        <v>60000</v>
      </c>
      <c r="D17" s="103"/>
      <c r="F17" s="118"/>
      <c r="G17" s="118"/>
    </row>
    <row r="18" spans="1:7" ht="18.75">
      <c r="A18" s="120" t="s">
        <v>174</v>
      </c>
      <c r="B18" s="121">
        <v>5130</v>
      </c>
      <c r="C18" s="103">
        <f>SUM(99000+33000)</f>
        <v>132000</v>
      </c>
      <c r="D18" s="103"/>
      <c r="F18" s="118"/>
      <c r="G18" s="118"/>
    </row>
    <row r="19" spans="1:7" ht="18.75">
      <c r="A19" s="120" t="s">
        <v>96</v>
      </c>
      <c r="B19" s="121">
        <v>5200</v>
      </c>
      <c r="C19" s="103">
        <f>SUM(526821.55+183479+71400-750)</f>
        <v>780950.55</v>
      </c>
      <c r="D19" s="103"/>
      <c r="F19" s="118"/>
      <c r="G19" s="118"/>
    </row>
    <row r="20" spans="1:7" ht="18.75">
      <c r="A20" s="120" t="s">
        <v>97</v>
      </c>
      <c r="B20" s="121">
        <v>5250</v>
      </c>
      <c r="C20" s="103">
        <f>SUM(434013+101493.99+9400+3140+3244-616)</f>
        <v>550674.99</v>
      </c>
      <c r="D20" s="103"/>
      <c r="F20" s="118"/>
      <c r="G20" s="118"/>
    </row>
    <row r="21" spans="1:7" ht="18.75">
      <c r="A21" s="120" t="s">
        <v>97</v>
      </c>
      <c r="B21" s="121">
        <v>6250</v>
      </c>
      <c r="C21" s="103">
        <f>SUM(137304+8400+10000)</f>
        <v>155704</v>
      </c>
      <c r="D21" s="103"/>
      <c r="F21" s="118"/>
      <c r="G21" s="118"/>
    </row>
    <row r="22" spans="1:7" ht="18.75">
      <c r="A22" s="120" t="s">
        <v>98</v>
      </c>
      <c r="B22" s="121">
        <v>5270</v>
      </c>
      <c r="C22" s="103">
        <f>SUM(7700+7900)</f>
        <v>15600</v>
      </c>
      <c r="D22" s="103"/>
      <c r="F22" s="118"/>
      <c r="G22" s="118"/>
    </row>
    <row r="23" spans="1:7" ht="18.75">
      <c r="A23" s="120" t="s">
        <v>98</v>
      </c>
      <c r="B23" s="121">
        <v>6270</v>
      </c>
      <c r="C23" s="103">
        <v>186310.4</v>
      </c>
      <c r="D23" s="103"/>
      <c r="E23" s="264"/>
      <c r="F23" s="118"/>
      <c r="G23" s="118"/>
    </row>
    <row r="24" spans="1:7" ht="18.75">
      <c r="A24" s="120" t="s">
        <v>100</v>
      </c>
      <c r="B24" s="121">
        <v>5300</v>
      </c>
      <c r="C24" s="103">
        <f>SUM(52332.99+18337.75)</f>
        <v>70670.73999999999</v>
      </c>
      <c r="D24" s="103"/>
      <c r="F24" s="118"/>
      <c r="G24" s="118"/>
    </row>
    <row r="25" spans="1:7" ht="18.75">
      <c r="A25" s="120" t="s">
        <v>101</v>
      </c>
      <c r="B25" s="121">
        <v>5400</v>
      </c>
      <c r="C25" s="103">
        <f>SUM(30000+20000)</f>
        <v>50000</v>
      </c>
      <c r="D25" s="103"/>
      <c r="F25" s="118"/>
      <c r="G25" s="118"/>
    </row>
    <row r="26" spans="1:7" ht="18.75">
      <c r="A26" s="120" t="s">
        <v>101</v>
      </c>
      <c r="B26" s="121">
        <v>6400</v>
      </c>
      <c r="C26" s="103">
        <f>SUM(893100)</f>
        <v>893100</v>
      </c>
      <c r="D26" s="103"/>
      <c r="F26" s="118"/>
      <c r="G26" s="118"/>
    </row>
    <row r="27" spans="1:7" ht="18.75">
      <c r="A27" s="120" t="s">
        <v>99</v>
      </c>
      <c r="B27" s="121">
        <v>5450</v>
      </c>
      <c r="C27" s="103">
        <v>0</v>
      </c>
      <c r="D27" s="103"/>
      <c r="F27" s="118"/>
      <c r="G27" s="118"/>
    </row>
    <row r="28" spans="1:7" ht="18.75">
      <c r="A28" s="120" t="s">
        <v>99</v>
      </c>
      <c r="B28" s="121">
        <v>6450</v>
      </c>
      <c r="C28" s="103">
        <v>0</v>
      </c>
      <c r="D28" s="103"/>
      <c r="F28" s="118"/>
      <c r="G28" s="118"/>
    </row>
    <row r="29" spans="1:7" ht="18.75">
      <c r="A29" s="120" t="s">
        <v>102</v>
      </c>
      <c r="B29" s="121">
        <v>5500</v>
      </c>
      <c r="C29" s="103">
        <f>SUM(0)</f>
        <v>0</v>
      </c>
      <c r="D29" s="103"/>
      <c r="F29" s="118"/>
      <c r="G29" s="118"/>
    </row>
    <row r="30" spans="1:7" ht="18.75">
      <c r="A30" s="120" t="s">
        <v>156</v>
      </c>
      <c r="B30" s="121">
        <v>5550</v>
      </c>
      <c r="C30" s="103">
        <v>0</v>
      </c>
      <c r="D30" s="103"/>
      <c r="F30" s="118"/>
      <c r="G30" s="118"/>
    </row>
    <row r="31" spans="1:7" ht="18.75">
      <c r="A31" s="120" t="s">
        <v>93</v>
      </c>
      <c r="B31" s="121">
        <v>7000</v>
      </c>
      <c r="C31" s="103">
        <f>SUM(1458100+483800+1440+1440)</f>
        <v>1944780</v>
      </c>
      <c r="D31" s="103"/>
      <c r="F31" s="118"/>
      <c r="G31" s="118"/>
    </row>
    <row r="32" spans="1:7" ht="18.75">
      <c r="A32" s="120" t="s">
        <v>102</v>
      </c>
      <c r="B32" s="121">
        <v>7500</v>
      </c>
      <c r="C32" s="103">
        <v>0</v>
      </c>
      <c r="D32" s="103"/>
      <c r="F32" s="118"/>
      <c r="G32" s="118"/>
    </row>
    <row r="33" spans="1:7" ht="18.75">
      <c r="A33" s="120" t="s">
        <v>287</v>
      </c>
      <c r="B33" s="121" t="s">
        <v>288</v>
      </c>
      <c r="C33" s="103">
        <f>SUM(925252)</f>
        <v>925252</v>
      </c>
      <c r="D33" s="103"/>
      <c r="F33" s="118"/>
      <c r="G33" s="118"/>
    </row>
    <row r="34" spans="1:7" ht="18.75">
      <c r="A34" s="120" t="s">
        <v>155</v>
      </c>
      <c r="B34" s="116" t="s">
        <v>44</v>
      </c>
      <c r="C34" s="103">
        <f>SUM(110900+19400-10000-9400-3140-3244-71400)</f>
        <v>33116</v>
      </c>
      <c r="D34" s="103"/>
      <c r="F34" s="118"/>
      <c r="G34" s="118"/>
    </row>
    <row r="35" spans="1:7" ht="18.75">
      <c r="A35" s="120" t="s">
        <v>335</v>
      </c>
      <c r="B35" s="116">
        <v>600</v>
      </c>
      <c r="C35" s="103"/>
      <c r="D35" s="103">
        <f>SUM(1053140)</f>
        <v>1053140</v>
      </c>
      <c r="F35" s="118"/>
      <c r="G35" s="118"/>
    </row>
    <row r="36" spans="1:7" ht="18.75">
      <c r="A36" s="120" t="s">
        <v>316</v>
      </c>
      <c r="B36" s="116">
        <v>601</v>
      </c>
      <c r="C36" s="103"/>
      <c r="D36" s="103">
        <v>0</v>
      </c>
      <c r="F36" s="118"/>
      <c r="G36" s="118"/>
    </row>
    <row r="37" spans="1:7" ht="18.75">
      <c r="A37" s="120" t="s">
        <v>336</v>
      </c>
      <c r="B37" s="116">
        <v>604</v>
      </c>
      <c r="C37" s="103"/>
      <c r="D37" s="103">
        <f>SUM(38784.03)</f>
        <v>38784.03</v>
      </c>
      <c r="F37" s="118"/>
      <c r="G37" s="118"/>
    </row>
    <row r="38" spans="1:7" ht="18.75">
      <c r="A38" s="120" t="s">
        <v>103</v>
      </c>
      <c r="B38" s="116" t="s">
        <v>118</v>
      </c>
      <c r="C38" s="103"/>
      <c r="D38" s="103">
        <f>SUM(11176027)</f>
        <v>11176027</v>
      </c>
      <c r="E38" s="119"/>
      <c r="F38" s="118"/>
      <c r="G38" s="118"/>
    </row>
    <row r="39" spans="1:7" ht="18.75">
      <c r="A39" s="120" t="s">
        <v>308</v>
      </c>
      <c r="B39" s="116">
        <v>704</v>
      </c>
      <c r="C39" s="103">
        <f>SUM(1440-1440)</f>
        <v>0</v>
      </c>
      <c r="D39" s="103"/>
      <c r="E39" s="119"/>
      <c r="F39" s="118"/>
      <c r="G39" s="118"/>
    </row>
    <row r="40" spans="1:7" ht="18.75">
      <c r="A40" s="120" t="s">
        <v>14</v>
      </c>
      <c r="B40" s="121" t="s">
        <v>105</v>
      </c>
      <c r="C40" s="103"/>
      <c r="D40" s="103">
        <f>SUM(7661816.71)</f>
        <v>7661816.71</v>
      </c>
      <c r="E40" s="119"/>
      <c r="F40" s="118"/>
      <c r="G40" s="118"/>
    </row>
    <row r="41" spans="1:7" ht="18.75">
      <c r="A41" s="120" t="s">
        <v>277</v>
      </c>
      <c r="B41" s="121">
        <v>821</v>
      </c>
      <c r="C41" s="103"/>
      <c r="D41" s="103">
        <v>12550443.96</v>
      </c>
      <c r="E41" s="119"/>
      <c r="F41" s="118"/>
      <c r="G41" s="118"/>
    </row>
    <row r="42" spans="1:7" ht="18.75">
      <c r="A42" s="120" t="s">
        <v>278</v>
      </c>
      <c r="B42" s="121">
        <v>900</v>
      </c>
      <c r="C42" s="103"/>
      <c r="D42" s="103">
        <v>1433388.61</v>
      </c>
      <c r="E42" s="122"/>
      <c r="F42" s="118"/>
      <c r="G42" s="118"/>
    </row>
    <row r="43" spans="1:6" ht="19.5" thickBot="1">
      <c r="A43" s="188"/>
      <c r="B43" s="189"/>
      <c r="C43" s="123">
        <f>SUM(C5:C42)</f>
        <v>33913600.309999995</v>
      </c>
      <c r="D43" s="123">
        <f>SUM(D35:D42)</f>
        <v>33913600.31</v>
      </c>
      <c r="E43" s="119"/>
      <c r="F43" s="187"/>
    </row>
    <row r="44" ht="19.5" thickTop="1">
      <c r="E44" s="119"/>
    </row>
    <row r="47" ht="18.75">
      <c r="C47" s="187"/>
    </row>
    <row r="48" ht="18.75">
      <c r="C48" s="187"/>
    </row>
    <row r="49" ht="18.75">
      <c r="C49" s="187"/>
    </row>
    <row r="70" spans="1:4" ht="18.75">
      <c r="A70" s="228"/>
      <c r="B70" s="228"/>
      <c r="C70" s="228"/>
      <c r="D70" s="228"/>
    </row>
  </sheetData>
  <sheetProtection/>
  <mergeCells count="4">
    <mergeCell ref="A70:D70"/>
    <mergeCell ref="A1:D1"/>
    <mergeCell ref="A2:D2"/>
    <mergeCell ref="A3:D3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43" sqref="A43:IV61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16384" width="9.140625" style="8" customWidth="1"/>
  </cols>
  <sheetData>
    <row r="1" spans="1:4" s="10" customFormat="1" ht="21">
      <c r="A1" s="229" t="s">
        <v>106</v>
      </c>
      <c r="B1" s="229"/>
      <c r="C1" s="229"/>
      <c r="D1" s="229"/>
    </row>
    <row r="2" spans="1:4" s="10" customFormat="1" ht="21">
      <c r="A2" s="229" t="s">
        <v>199</v>
      </c>
      <c r="B2" s="229"/>
      <c r="C2" s="229"/>
      <c r="D2" s="229"/>
    </row>
    <row r="3" spans="1:4" s="10" customFormat="1" ht="21">
      <c r="A3" s="230" t="s">
        <v>367</v>
      </c>
      <c r="B3" s="230"/>
      <c r="C3" s="230"/>
      <c r="D3" s="230"/>
    </row>
    <row r="4" spans="1:4" ht="18">
      <c r="A4" s="61" t="s">
        <v>85</v>
      </c>
      <c r="B4" s="61" t="s">
        <v>86</v>
      </c>
      <c r="C4" s="62" t="s">
        <v>119</v>
      </c>
      <c r="D4" s="61" t="s">
        <v>120</v>
      </c>
    </row>
    <row r="5" spans="1:4" ht="18">
      <c r="A5" s="63"/>
      <c r="B5" s="63"/>
      <c r="C5" s="64"/>
      <c r="D5" s="64"/>
    </row>
    <row r="6" spans="1:5" ht="18">
      <c r="A6" s="65" t="s">
        <v>136</v>
      </c>
      <c r="B6" s="60"/>
      <c r="C6" s="66">
        <f>SUM(C7+C11+C16+C18+C19)</f>
        <v>375590</v>
      </c>
      <c r="D6" s="66">
        <f>SUM(D7+D11+D16+D18+D19)</f>
        <v>85730.93000000001</v>
      </c>
      <c r="E6" s="15"/>
    </row>
    <row r="7" spans="1:5" ht="18">
      <c r="A7" s="67" t="s">
        <v>137</v>
      </c>
      <c r="B7" s="68" t="s">
        <v>28</v>
      </c>
      <c r="C7" s="69">
        <f>SUM(C8:C10)</f>
        <v>69850</v>
      </c>
      <c r="D7" s="69">
        <v>3733.65</v>
      </c>
      <c r="E7" s="15"/>
    </row>
    <row r="8" spans="1:4" ht="18">
      <c r="A8" s="70" t="s">
        <v>121</v>
      </c>
      <c r="B8" s="71" t="s">
        <v>64</v>
      </c>
      <c r="C8" s="72">
        <v>23970</v>
      </c>
      <c r="D8" s="73">
        <v>1700</v>
      </c>
    </row>
    <row r="9" spans="1:5" ht="18">
      <c r="A9" s="74" t="s">
        <v>122</v>
      </c>
      <c r="B9" s="75" t="s">
        <v>65</v>
      </c>
      <c r="C9" s="76">
        <v>45750</v>
      </c>
      <c r="D9" s="77">
        <v>0</v>
      </c>
      <c r="E9" s="15"/>
    </row>
    <row r="10" spans="1:4" ht="18">
      <c r="A10" s="78" t="s">
        <v>123</v>
      </c>
      <c r="B10" s="79" t="s">
        <v>66</v>
      </c>
      <c r="C10" s="80">
        <v>130</v>
      </c>
      <c r="D10" s="81">
        <v>0</v>
      </c>
    </row>
    <row r="11" spans="1:4" ht="18">
      <c r="A11" s="67" t="s">
        <v>138</v>
      </c>
      <c r="B11" s="68" t="s">
        <v>30</v>
      </c>
      <c r="C11" s="69">
        <f>SUM(C12:C15)</f>
        <v>350</v>
      </c>
      <c r="D11" s="69">
        <f>SUM(D12:D15)</f>
        <v>292.68</v>
      </c>
    </row>
    <row r="12" spans="1:4" ht="18">
      <c r="A12" s="70" t="s">
        <v>68</v>
      </c>
      <c r="B12" s="71" t="s">
        <v>67</v>
      </c>
      <c r="C12" s="72">
        <v>240</v>
      </c>
      <c r="D12" s="73">
        <v>0</v>
      </c>
    </row>
    <row r="13" spans="1:4" ht="18">
      <c r="A13" s="74" t="s">
        <v>124</v>
      </c>
      <c r="B13" s="75" t="s">
        <v>69</v>
      </c>
      <c r="C13" s="76">
        <v>60</v>
      </c>
      <c r="D13" s="77">
        <v>42.68</v>
      </c>
    </row>
    <row r="14" spans="1:4" ht="18">
      <c r="A14" s="74" t="s">
        <v>125</v>
      </c>
      <c r="B14" s="75" t="s">
        <v>70</v>
      </c>
      <c r="C14" s="76">
        <v>0</v>
      </c>
      <c r="D14" s="77">
        <v>0</v>
      </c>
    </row>
    <row r="15" spans="1:4" ht="18">
      <c r="A15" s="78" t="s">
        <v>324</v>
      </c>
      <c r="B15" s="79" t="s">
        <v>325</v>
      </c>
      <c r="C15" s="80">
        <v>50</v>
      </c>
      <c r="D15" s="81">
        <v>250</v>
      </c>
    </row>
    <row r="16" spans="1:4" ht="18">
      <c r="A16" s="67" t="s">
        <v>139</v>
      </c>
      <c r="B16" s="68" t="s">
        <v>32</v>
      </c>
      <c r="C16" s="69">
        <f>SUM(C17)</f>
        <v>107140</v>
      </c>
      <c r="D16" s="69">
        <f>SUM(D17)</f>
        <v>78704.6</v>
      </c>
    </row>
    <row r="17" spans="1:4" ht="18">
      <c r="A17" s="82" t="s">
        <v>126</v>
      </c>
      <c r="B17" s="68" t="s">
        <v>71</v>
      </c>
      <c r="C17" s="83">
        <v>107140</v>
      </c>
      <c r="D17" s="69">
        <v>78704.6</v>
      </c>
    </row>
    <row r="18" spans="1:4" ht="18">
      <c r="A18" s="67" t="s">
        <v>140</v>
      </c>
      <c r="B18" s="68" t="s">
        <v>34</v>
      </c>
      <c r="C18" s="69">
        <v>0</v>
      </c>
      <c r="D18" s="69">
        <v>0</v>
      </c>
    </row>
    <row r="19" spans="1:4" ht="18">
      <c r="A19" s="84" t="s">
        <v>141</v>
      </c>
      <c r="B19" s="71" t="s">
        <v>36</v>
      </c>
      <c r="C19" s="73">
        <f>SUM(C20:C21)</f>
        <v>198250</v>
      </c>
      <c r="D19" s="73">
        <f>SUM(D20:D21)</f>
        <v>3000</v>
      </c>
    </row>
    <row r="20" spans="1:4" ht="18">
      <c r="A20" s="70" t="s">
        <v>127</v>
      </c>
      <c r="B20" s="71" t="s">
        <v>72</v>
      </c>
      <c r="C20" s="72">
        <v>196500</v>
      </c>
      <c r="D20" s="73">
        <v>3000</v>
      </c>
    </row>
    <row r="21" spans="1:4" ht="18">
      <c r="A21" s="78" t="s">
        <v>200</v>
      </c>
      <c r="B21" s="79" t="s">
        <v>185</v>
      </c>
      <c r="C21" s="80">
        <v>1750</v>
      </c>
      <c r="D21" s="81">
        <v>0</v>
      </c>
    </row>
    <row r="22" spans="1:4" ht="18">
      <c r="A22" s="78" t="s">
        <v>142</v>
      </c>
      <c r="B22" s="63"/>
      <c r="C22" s="81">
        <f>SUM(C23)</f>
        <v>9808360</v>
      </c>
      <c r="D22" s="81">
        <f>SUM(D23)</f>
        <v>5779045.029999999</v>
      </c>
    </row>
    <row r="23" spans="1:4" ht="18">
      <c r="A23" s="67" t="s">
        <v>137</v>
      </c>
      <c r="B23" s="68" t="s">
        <v>40</v>
      </c>
      <c r="C23" s="69">
        <f>SUM(C24:C31)</f>
        <v>9808360</v>
      </c>
      <c r="D23" s="69">
        <f>SUM(D24:D31)</f>
        <v>5779045.029999999</v>
      </c>
    </row>
    <row r="24" spans="1:4" ht="18">
      <c r="A24" s="70" t="s">
        <v>128</v>
      </c>
      <c r="B24" s="71" t="s">
        <v>73</v>
      </c>
      <c r="C24" s="72">
        <v>0</v>
      </c>
      <c r="D24" s="73">
        <v>0</v>
      </c>
    </row>
    <row r="25" spans="1:4" ht="18">
      <c r="A25" s="74" t="s">
        <v>318</v>
      </c>
      <c r="B25" s="75" t="s">
        <v>74</v>
      </c>
      <c r="C25" s="76">
        <v>6606470</v>
      </c>
      <c r="D25" s="77">
        <f>SUM(670511.97+3942182.04)</f>
        <v>4612694.01</v>
      </c>
    </row>
    <row r="26" spans="1:4" ht="18">
      <c r="A26" s="74" t="s">
        <v>129</v>
      </c>
      <c r="B26" s="75" t="s">
        <v>75</v>
      </c>
      <c r="C26" s="76">
        <v>8580</v>
      </c>
      <c r="D26" s="77">
        <v>18405.53</v>
      </c>
    </row>
    <row r="27" spans="1:4" ht="18">
      <c r="A27" s="74" t="s">
        <v>130</v>
      </c>
      <c r="B27" s="75" t="s">
        <v>76</v>
      </c>
      <c r="C27" s="76">
        <v>860190</v>
      </c>
      <c r="D27" s="77">
        <v>333504.75</v>
      </c>
    </row>
    <row r="28" spans="1:4" ht="18">
      <c r="A28" s="74" t="s">
        <v>131</v>
      </c>
      <c r="B28" s="75" t="s">
        <v>77</v>
      </c>
      <c r="C28" s="76">
        <v>2072660</v>
      </c>
      <c r="D28" s="77">
        <v>765159.13</v>
      </c>
    </row>
    <row r="29" spans="1:4" ht="18">
      <c r="A29" s="74" t="s">
        <v>132</v>
      </c>
      <c r="B29" s="75" t="s">
        <v>78</v>
      </c>
      <c r="C29" s="76">
        <v>65460</v>
      </c>
      <c r="D29" s="77">
        <v>9293.59</v>
      </c>
    </row>
    <row r="30" spans="1:4" ht="18">
      <c r="A30" s="74" t="s">
        <v>133</v>
      </c>
      <c r="B30" s="75" t="s">
        <v>79</v>
      </c>
      <c r="C30" s="76">
        <v>47090</v>
      </c>
      <c r="D30" s="77">
        <v>22888.02</v>
      </c>
    </row>
    <row r="31" spans="1:4" ht="18">
      <c r="A31" s="78" t="s">
        <v>81</v>
      </c>
      <c r="B31" s="79" t="s">
        <v>80</v>
      </c>
      <c r="C31" s="80">
        <v>147910</v>
      </c>
      <c r="D31" s="81">
        <v>17100</v>
      </c>
    </row>
    <row r="32" spans="1:4" ht="18">
      <c r="A32" s="82" t="s">
        <v>143</v>
      </c>
      <c r="B32" s="60"/>
      <c r="C32" s="69">
        <f>SUM(C33)</f>
        <v>7615990</v>
      </c>
      <c r="D32" s="69">
        <f>SUM(D33)</f>
        <v>3727194</v>
      </c>
    </row>
    <row r="33" spans="1:4" ht="18">
      <c r="A33" s="67" t="s">
        <v>144</v>
      </c>
      <c r="B33" s="68" t="s">
        <v>42</v>
      </c>
      <c r="C33" s="69">
        <f>SUM(C34)</f>
        <v>7615990</v>
      </c>
      <c r="D33" s="69">
        <f>SUM(D34)</f>
        <v>3727194</v>
      </c>
    </row>
    <row r="34" spans="1:4" ht="18">
      <c r="A34" s="82" t="s">
        <v>134</v>
      </c>
      <c r="B34" s="68" t="s">
        <v>82</v>
      </c>
      <c r="C34" s="83">
        <v>7615990</v>
      </c>
      <c r="D34" s="69">
        <v>3727194</v>
      </c>
    </row>
    <row r="35" spans="1:4" ht="18">
      <c r="A35" s="85" t="s">
        <v>192</v>
      </c>
      <c r="B35" s="79"/>
      <c r="C35" s="83">
        <f>SUM(C36)</f>
        <v>0</v>
      </c>
      <c r="D35" s="69">
        <f>SUM(D36)</f>
        <v>2958474</v>
      </c>
    </row>
    <row r="36" spans="1:4" ht="18">
      <c r="A36" s="67" t="s">
        <v>193</v>
      </c>
      <c r="B36" s="68">
        <v>3000</v>
      </c>
      <c r="C36" s="83">
        <f>SUM(C37:C38)</f>
        <v>0</v>
      </c>
      <c r="D36" s="69">
        <f>SUM(D37:D39)</f>
        <v>2958474</v>
      </c>
    </row>
    <row r="37" spans="1:4" ht="18">
      <c r="A37" s="70" t="s">
        <v>362</v>
      </c>
      <c r="B37" s="71">
        <v>3002</v>
      </c>
      <c r="C37" s="72"/>
      <c r="D37" s="73">
        <v>2424600</v>
      </c>
    </row>
    <row r="38" spans="1:4" ht="18">
      <c r="A38" s="74" t="s">
        <v>0</v>
      </c>
      <c r="B38" s="75">
        <v>3002</v>
      </c>
      <c r="C38" s="76">
        <v>0</v>
      </c>
      <c r="D38" s="77">
        <v>453000</v>
      </c>
    </row>
    <row r="39" spans="1:4" ht="18">
      <c r="A39" s="74" t="s">
        <v>363</v>
      </c>
      <c r="B39" s="75">
        <v>3002</v>
      </c>
      <c r="C39" s="76">
        <v>0</v>
      </c>
      <c r="D39" s="77">
        <v>80874</v>
      </c>
    </row>
    <row r="40" spans="1:4" ht="18.75" thickBot="1">
      <c r="A40" s="197" t="s">
        <v>135</v>
      </c>
      <c r="B40" s="126"/>
      <c r="C40" s="127">
        <f>SUM(C6+C22+C32)</f>
        <v>17799940</v>
      </c>
      <c r="D40" s="106">
        <f>SUM(D6+D22+D32+D36)</f>
        <v>12550443.959999999</v>
      </c>
    </row>
    <row r="41" ht="18.75" thickTop="1">
      <c r="E41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7" t="s">
        <v>106</v>
      </c>
      <c r="B1" s="227"/>
      <c r="C1" s="227"/>
      <c r="D1" s="227"/>
      <c r="E1" s="227"/>
    </row>
    <row r="2" spans="1:5" ht="23.25">
      <c r="A2" s="227" t="s">
        <v>202</v>
      </c>
      <c r="B2" s="227"/>
      <c r="C2" s="227"/>
      <c r="D2" s="227"/>
      <c r="E2" s="227"/>
    </row>
    <row r="3" spans="1:4" ht="23.25">
      <c r="A3" s="232"/>
      <c r="B3" s="227"/>
      <c r="C3" s="227"/>
      <c r="D3" s="227"/>
    </row>
    <row r="4" spans="1:4" ht="23.25">
      <c r="A4" s="233" t="s">
        <v>368</v>
      </c>
      <c r="B4" s="231"/>
      <c r="C4" s="231"/>
      <c r="D4" s="231"/>
    </row>
    <row r="5" spans="1:10" ht="23.25">
      <c r="A5" s="2"/>
      <c r="B5" s="44"/>
      <c r="C5" s="3" t="s">
        <v>3</v>
      </c>
      <c r="D5" s="3" t="s">
        <v>4</v>
      </c>
      <c r="E5" s="3" t="s">
        <v>5</v>
      </c>
      <c r="G5" s="3" t="s">
        <v>26</v>
      </c>
      <c r="H5" s="3" t="s">
        <v>3</v>
      </c>
      <c r="I5" s="3" t="s">
        <v>4</v>
      </c>
      <c r="J5" s="3" t="s">
        <v>5</v>
      </c>
    </row>
    <row r="6" spans="1:10" ht="23.25">
      <c r="A6" s="1" t="s">
        <v>111</v>
      </c>
      <c r="B6" s="45"/>
      <c r="C6" s="6">
        <f>SUM(H6)</f>
        <v>1070.25</v>
      </c>
      <c r="D6" s="5">
        <f aca="true" t="shared" si="0" ref="C6:D12">SUM(I6)</f>
        <v>2096.01</v>
      </c>
      <c r="E6" s="6">
        <f aca="true" t="shared" si="1" ref="E6:E12">SUM(J6)</f>
        <v>887.1499999999996</v>
      </c>
      <c r="G6" s="5">
        <v>1912.91</v>
      </c>
      <c r="H6" s="6">
        <v>1070.25</v>
      </c>
      <c r="I6" s="5">
        <v>2096.01</v>
      </c>
      <c r="J6" s="6">
        <f aca="true" t="shared" si="2" ref="J6:J11">SUM(G6+H6-I6)</f>
        <v>887.1499999999996</v>
      </c>
    </row>
    <row r="7" spans="1:10" ht="23.25">
      <c r="A7" s="1" t="s">
        <v>112</v>
      </c>
      <c r="B7" s="45"/>
      <c r="C7" s="6">
        <f t="shared" si="0"/>
        <v>0</v>
      </c>
      <c r="D7" s="5">
        <f t="shared" si="0"/>
        <v>4030</v>
      </c>
      <c r="E7" s="6">
        <f t="shared" si="1"/>
        <v>210614</v>
      </c>
      <c r="G7" s="5">
        <v>214644</v>
      </c>
      <c r="H7" s="6">
        <v>0</v>
      </c>
      <c r="I7" s="5">
        <v>4030</v>
      </c>
      <c r="J7" s="6">
        <f t="shared" si="2"/>
        <v>210614</v>
      </c>
    </row>
    <row r="8" spans="1:10" ht="23.25">
      <c r="A8" s="1" t="s">
        <v>109</v>
      </c>
      <c r="B8" s="45"/>
      <c r="C8" s="6">
        <f>SUM(H8)</f>
        <v>114.25</v>
      </c>
      <c r="D8" s="5">
        <f t="shared" si="0"/>
        <v>0</v>
      </c>
      <c r="E8" s="6">
        <f t="shared" si="1"/>
        <v>2585.05</v>
      </c>
      <c r="G8" s="5">
        <v>2470.8</v>
      </c>
      <c r="H8" s="6">
        <v>114.25</v>
      </c>
      <c r="I8" s="5">
        <v>0</v>
      </c>
      <c r="J8" s="6">
        <f t="shared" si="2"/>
        <v>2585.05</v>
      </c>
    </row>
    <row r="9" spans="1:10" ht="23.25">
      <c r="A9" s="1" t="s">
        <v>110</v>
      </c>
      <c r="B9" s="45"/>
      <c r="C9" s="6">
        <f>SUM(H9)</f>
        <v>137.1</v>
      </c>
      <c r="D9" s="5">
        <f t="shared" si="0"/>
        <v>0</v>
      </c>
      <c r="E9" s="6">
        <f t="shared" si="1"/>
        <v>6212.64</v>
      </c>
      <c r="G9" s="5">
        <v>6075.54</v>
      </c>
      <c r="H9" s="6">
        <v>137.1</v>
      </c>
      <c r="I9" s="5">
        <v>0</v>
      </c>
      <c r="J9" s="6">
        <f t="shared" si="2"/>
        <v>6212.64</v>
      </c>
    </row>
    <row r="10" spans="1:10" ht="23.25">
      <c r="A10" s="1" t="s">
        <v>146</v>
      </c>
      <c r="B10" s="45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307</v>
      </c>
      <c r="B11" s="45"/>
      <c r="C11" s="6">
        <f t="shared" si="0"/>
        <v>0</v>
      </c>
      <c r="D11" s="5">
        <f t="shared" si="0"/>
        <v>0</v>
      </c>
      <c r="E11" s="6">
        <f t="shared" si="1"/>
        <v>1150436.74</v>
      </c>
      <c r="G11" s="5">
        <v>1150436.74</v>
      </c>
      <c r="H11" s="6">
        <v>0</v>
      </c>
      <c r="I11" s="5">
        <v>0</v>
      </c>
      <c r="J11" s="6">
        <f t="shared" si="2"/>
        <v>1150436.74</v>
      </c>
    </row>
    <row r="12" spans="1:10" ht="23.25">
      <c r="A12" s="1" t="s">
        <v>188</v>
      </c>
      <c r="B12" s="45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305</v>
      </c>
      <c r="B13" s="45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309</v>
      </c>
      <c r="B14" s="45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5"/>
      <c r="C15" s="4">
        <f>SUM(C6:C14)</f>
        <v>1321.6</v>
      </c>
      <c r="D15" s="4">
        <f>SUM(D6:D14)</f>
        <v>6126.01</v>
      </c>
      <c r="E15" s="7">
        <f>SUM(E6:E14)</f>
        <v>1433388.6099999999</v>
      </c>
      <c r="F15" s="57"/>
      <c r="G15" s="4">
        <f>SUM(G6:G14)</f>
        <v>1438193.02</v>
      </c>
      <c r="H15" s="4">
        <f>SUM(H6:H14)</f>
        <v>1321.6</v>
      </c>
      <c r="I15" s="4">
        <f>SUM(I6:I14)</f>
        <v>6126.01</v>
      </c>
      <c r="J15" s="7">
        <f>SUM(G15+H15-I15)</f>
        <v>1433388.61</v>
      </c>
    </row>
    <row r="16" ht="24" thickTop="1"/>
    <row r="19" spans="1:5" ht="23.25">
      <c r="A19" s="236"/>
      <c r="B19" s="236"/>
      <c r="C19" s="236"/>
      <c r="D19" s="236"/>
      <c r="E19" s="236"/>
    </row>
    <row r="20" spans="1:5" ht="23.25">
      <c r="A20" s="236"/>
      <c r="B20" s="236"/>
      <c r="C20" s="236"/>
      <c r="D20" s="236"/>
      <c r="E20" s="236"/>
    </row>
    <row r="21" spans="1:5" ht="23.25">
      <c r="A21" s="234"/>
      <c r="B21" s="235"/>
      <c r="C21" s="235"/>
      <c r="D21" s="235"/>
      <c r="E21" s="31"/>
    </row>
    <row r="22" spans="1:5" ht="23.25">
      <c r="A22" s="234"/>
      <c r="B22" s="235"/>
      <c r="C22" s="235"/>
      <c r="D22" s="235"/>
      <c r="E22" s="31"/>
    </row>
    <row r="23" spans="1:5" ht="23.25">
      <c r="A23" s="86"/>
      <c r="B23" s="87"/>
      <c r="C23" s="87"/>
      <c r="D23" s="87"/>
      <c r="E23" s="31"/>
    </row>
    <row r="24" spans="1:5" ht="23.25">
      <c r="A24" s="44"/>
      <c r="B24" s="44"/>
      <c r="C24" s="44"/>
      <c r="D24" s="44"/>
      <c r="E24" s="44"/>
    </row>
    <row r="25" spans="1:5" ht="23.25">
      <c r="A25" s="31"/>
      <c r="B25" s="45"/>
      <c r="C25" s="88"/>
      <c r="D25" s="45"/>
      <c r="E25" s="88"/>
    </row>
    <row r="26" spans="1:5" ht="23.25">
      <c r="A26" s="31"/>
      <c r="B26" s="45"/>
      <c r="C26" s="88"/>
      <c r="D26" s="45"/>
      <c r="E26" s="88"/>
    </row>
    <row r="27" spans="1:5" ht="23.25">
      <c r="A27" s="31"/>
      <c r="B27" s="45"/>
      <c r="C27" s="88"/>
      <c r="D27" s="45"/>
      <c r="E27" s="88"/>
    </row>
    <row r="28" spans="1:5" ht="23.25">
      <c r="A28" s="31"/>
      <c r="B28" s="45"/>
      <c r="C28" s="88"/>
      <c r="D28" s="45"/>
      <c r="E28" s="88"/>
    </row>
    <row r="29" spans="1:5" ht="23.25">
      <c r="A29" s="31"/>
      <c r="B29" s="45"/>
      <c r="C29" s="88"/>
      <c r="D29" s="45"/>
      <c r="E29" s="88"/>
    </row>
    <row r="30" spans="1:5" ht="23.25">
      <c r="A30" s="31"/>
      <c r="B30" s="45"/>
      <c r="C30" s="88"/>
      <c r="D30" s="45"/>
      <c r="E30" s="88"/>
    </row>
    <row r="31" spans="1:5" ht="23.25">
      <c r="A31" s="31"/>
      <c r="B31" s="45"/>
      <c r="C31" s="88"/>
      <c r="D31" s="45"/>
      <c r="E31" s="88"/>
    </row>
    <row r="32" spans="1:5" ht="23.25">
      <c r="A32" s="31"/>
      <c r="B32" s="45"/>
      <c r="C32" s="45"/>
      <c r="D32" s="45"/>
      <c r="E32" s="88"/>
    </row>
    <row r="33" spans="1:5" ht="23.25">
      <c r="A33" s="31"/>
      <c r="B33" s="31"/>
      <c r="C33" s="31"/>
      <c r="D33" s="31"/>
      <c r="E33" s="31"/>
    </row>
    <row r="34" spans="1:5" ht="23.25">
      <c r="A34" s="31"/>
      <c r="B34" s="31"/>
      <c r="C34" s="31"/>
      <c r="D34" s="31"/>
      <c r="E34" s="31"/>
    </row>
    <row r="35" spans="1:5" ht="23.25">
      <c r="A35" s="31"/>
      <c r="B35" s="31"/>
      <c r="C35" s="31"/>
      <c r="D35" s="31"/>
      <c r="E35" s="31"/>
    </row>
    <row r="36" spans="1:5" ht="23.25">
      <c r="A36" s="31"/>
      <c r="B36" s="31"/>
      <c r="C36" s="31"/>
      <c r="D36" s="31"/>
      <c r="E36" s="31"/>
    </row>
    <row r="37" spans="1:5" ht="23.25">
      <c r="A37" s="31"/>
      <c r="B37" s="31"/>
      <c r="C37" s="31"/>
      <c r="D37" s="31"/>
      <c r="E37" s="31"/>
    </row>
    <row r="38" spans="1:5" ht="23.25">
      <c r="A38" s="31"/>
      <c r="B38" s="31"/>
      <c r="C38" s="31"/>
      <c r="D38" s="31"/>
      <c r="E38" s="31"/>
    </row>
    <row r="39" spans="1:5" ht="23.25">
      <c r="A39" s="31"/>
      <c r="B39" s="31"/>
      <c r="C39" s="31"/>
      <c r="D39" s="31"/>
      <c r="E39" s="31"/>
    </row>
    <row r="40" spans="1:5" ht="23.25">
      <c r="A40" s="31"/>
      <c r="B40" s="31"/>
      <c r="C40" s="31"/>
      <c r="D40" s="31"/>
      <c r="E40" s="31"/>
    </row>
    <row r="41" spans="1:5" ht="23.25">
      <c r="A41" s="31"/>
      <c r="B41" s="31"/>
      <c r="C41" s="31"/>
      <c r="D41" s="31"/>
      <c r="E41" s="31"/>
    </row>
    <row r="42" spans="1:5" ht="23.25">
      <c r="A42" s="31"/>
      <c r="B42" s="31"/>
      <c r="C42" s="31"/>
      <c r="D42" s="31"/>
      <c r="E42" s="31"/>
    </row>
    <row r="43" spans="1:5" ht="23.25">
      <c r="A43" s="31"/>
      <c r="B43" s="31"/>
      <c r="C43" s="31"/>
      <c r="D43" s="31"/>
      <c r="E43" s="31"/>
    </row>
    <row r="44" spans="1:5" ht="23.25">
      <c r="A44" s="31"/>
      <c r="B44" s="31"/>
      <c r="C44" s="31"/>
      <c r="D44" s="31"/>
      <c r="E44" s="31"/>
    </row>
    <row r="45" spans="1:5" ht="23.25">
      <c r="A45" s="31"/>
      <c r="B45" s="31"/>
      <c r="C45" s="31"/>
      <c r="D45" s="31"/>
      <c r="E45" s="31"/>
    </row>
    <row r="46" spans="1:5" ht="23.25">
      <c r="A46" s="31"/>
      <c r="B46" s="31"/>
      <c r="C46" s="31"/>
      <c r="D46" s="31"/>
      <c r="E46" s="31"/>
    </row>
    <row r="47" spans="1:5" ht="23.25">
      <c r="A47" s="31"/>
      <c r="B47" s="31"/>
      <c r="C47" s="31"/>
      <c r="D47" s="31"/>
      <c r="E47" s="31"/>
    </row>
    <row r="48" spans="1:5" ht="23.25">
      <c r="A48" s="31"/>
      <c r="B48" s="31"/>
      <c r="C48" s="31"/>
      <c r="D48" s="31"/>
      <c r="E48" s="31"/>
    </row>
    <row r="49" spans="1:5" ht="23.25">
      <c r="A49" s="31"/>
      <c r="B49" s="31"/>
      <c r="C49" s="31"/>
      <c r="D49" s="31"/>
      <c r="E49" s="31"/>
    </row>
    <row r="50" spans="1:5" ht="23.25">
      <c r="A50" s="31"/>
      <c r="B50" s="31"/>
      <c r="C50" s="31"/>
      <c r="D50" s="31"/>
      <c r="E50" s="31"/>
    </row>
    <row r="51" spans="1:5" ht="23.25">
      <c r="A51" s="31"/>
      <c r="B51" s="31"/>
      <c r="C51" s="31"/>
      <c r="D51" s="31"/>
      <c r="E51" s="31"/>
    </row>
    <row r="52" spans="1:5" ht="23.25">
      <c r="A52" s="31"/>
      <c r="B52" s="31"/>
      <c r="C52" s="31"/>
      <c r="D52" s="31"/>
      <c r="E52" s="31"/>
    </row>
    <row r="53" spans="1:5" ht="23.25">
      <c r="A53" s="31"/>
      <c r="B53" s="31"/>
      <c r="C53" s="31"/>
      <c r="D53" s="31"/>
      <c r="E53" s="31"/>
    </row>
    <row r="54" spans="1:5" ht="23.25">
      <c r="A54" s="31"/>
      <c r="B54" s="31"/>
      <c r="C54" s="31"/>
      <c r="D54" s="31"/>
      <c r="E54" s="31"/>
    </row>
    <row r="55" spans="1:5" ht="23.25">
      <c r="A55" s="31"/>
      <c r="B55" s="31"/>
      <c r="C55" s="31"/>
      <c r="D55" s="31"/>
      <c r="E55" s="31"/>
    </row>
    <row r="56" spans="1:5" ht="23.25">
      <c r="A56" s="31"/>
      <c r="B56" s="31"/>
      <c r="C56" s="31"/>
      <c r="D56" s="31"/>
      <c r="E56" s="31"/>
    </row>
    <row r="57" spans="1:5" ht="23.25">
      <c r="A57" s="31"/>
      <c r="B57" s="31"/>
      <c r="C57" s="31"/>
      <c r="D57" s="31"/>
      <c r="E57" s="31"/>
    </row>
    <row r="58" spans="1:5" ht="23.25">
      <c r="A58" s="31"/>
      <c r="B58" s="31"/>
      <c r="C58" s="31"/>
      <c r="D58" s="31"/>
      <c r="E58" s="31"/>
    </row>
    <row r="59" spans="1:5" ht="23.25">
      <c r="A59" s="31"/>
      <c r="B59" s="31"/>
      <c r="C59" s="31"/>
      <c r="D59" s="31"/>
      <c r="E59" s="31"/>
    </row>
    <row r="60" spans="1:5" ht="23.25">
      <c r="A60" s="31"/>
      <c r="B60" s="31"/>
      <c r="C60" s="31"/>
      <c r="D60" s="31"/>
      <c r="E60" s="31"/>
    </row>
    <row r="61" spans="1:5" ht="23.25">
      <c r="A61" s="31"/>
      <c r="B61" s="31"/>
      <c r="C61" s="31"/>
      <c r="D61" s="31"/>
      <c r="E61" s="31"/>
    </row>
    <row r="62" spans="1:5" ht="23.25">
      <c r="A62" s="31"/>
      <c r="B62" s="31"/>
      <c r="C62" s="31"/>
      <c r="D62" s="31"/>
      <c r="E62" s="31"/>
    </row>
    <row r="63" spans="1:5" ht="23.25">
      <c r="A63" s="31"/>
      <c r="B63" s="31"/>
      <c r="C63" s="31"/>
      <c r="D63" s="31"/>
      <c r="E63" s="31"/>
    </row>
    <row r="64" spans="1:5" ht="23.25">
      <c r="A64" s="31"/>
      <c r="B64" s="31"/>
      <c r="C64" s="31"/>
      <c r="D64" s="31"/>
      <c r="E64" s="31"/>
    </row>
    <row r="65" spans="1:5" ht="23.25">
      <c r="A65" s="31"/>
      <c r="B65" s="31"/>
      <c r="C65" s="31"/>
      <c r="D65" s="31"/>
      <c r="E65" s="31"/>
    </row>
    <row r="66" spans="1:5" ht="23.25">
      <c r="A66" s="31"/>
      <c r="B66" s="31"/>
      <c r="C66" s="31"/>
      <c r="D66" s="31"/>
      <c r="E66" s="31"/>
    </row>
  </sheetData>
  <sheetProtection/>
  <mergeCells count="8">
    <mergeCell ref="A22:D22"/>
    <mergeCell ref="A19:E19"/>
    <mergeCell ref="A20:E20"/>
    <mergeCell ref="A21:D21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140625" style="13" customWidth="1"/>
    <col min="2" max="2" width="44.28125" style="13" customWidth="1"/>
    <col min="3" max="4" width="12.7109375" style="13" customWidth="1"/>
    <col min="5" max="5" width="11.28125" style="13" customWidth="1"/>
    <col min="6" max="6" width="12.7109375" style="13" customWidth="1"/>
    <col min="7" max="7" width="8.8515625" style="13" customWidth="1"/>
    <col min="8" max="16384" width="9.140625" style="13" customWidth="1"/>
  </cols>
  <sheetData>
    <row r="1" spans="2:7" ht="16.5">
      <c r="B1" s="252" t="s">
        <v>106</v>
      </c>
      <c r="C1" s="252"/>
      <c r="D1" s="252"/>
      <c r="E1" s="252"/>
      <c r="F1" s="252"/>
      <c r="G1" s="252"/>
    </row>
    <row r="2" spans="2:7" ht="16.5">
      <c r="B2" s="252" t="s">
        <v>202</v>
      </c>
      <c r="C2" s="252"/>
      <c r="D2" s="252"/>
      <c r="E2" s="252"/>
      <c r="F2" s="252"/>
      <c r="G2" s="252"/>
    </row>
    <row r="3" spans="2:7" ht="16.5">
      <c r="B3" s="252"/>
      <c r="C3" s="252"/>
      <c r="D3" s="252"/>
      <c r="E3" s="252"/>
      <c r="F3" s="252"/>
      <c r="G3" s="252"/>
    </row>
    <row r="4" spans="2:7" ht="16.5">
      <c r="B4" s="261" t="s">
        <v>371</v>
      </c>
      <c r="C4" s="261"/>
      <c r="D4" s="261"/>
      <c r="E4" s="261"/>
      <c r="F4" s="261"/>
      <c r="G4" s="261"/>
    </row>
    <row r="5" spans="2:7" ht="16.5">
      <c r="B5" s="26"/>
      <c r="C5" s="219"/>
      <c r="D5" s="219"/>
      <c r="E5" s="26"/>
      <c r="F5" s="26"/>
      <c r="G5" s="26"/>
    </row>
    <row r="6" spans="2:7" ht="16.5">
      <c r="B6" s="254" t="s">
        <v>83</v>
      </c>
      <c r="C6" s="259" t="s">
        <v>153</v>
      </c>
      <c r="D6" s="260"/>
      <c r="E6" s="254" t="s">
        <v>338</v>
      </c>
      <c r="F6" s="254" t="s">
        <v>5</v>
      </c>
      <c r="G6" s="254" t="s">
        <v>154</v>
      </c>
    </row>
    <row r="7" spans="2:7" ht="16.5">
      <c r="B7" s="255"/>
      <c r="C7" s="16" t="s">
        <v>339</v>
      </c>
      <c r="D7" s="16" t="s">
        <v>340</v>
      </c>
      <c r="E7" s="255"/>
      <c r="F7" s="255"/>
      <c r="G7" s="255"/>
    </row>
    <row r="8" spans="2:7" ht="16.5">
      <c r="B8" s="17" t="s">
        <v>341</v>
      </c>
      <c r="C8" s="204">
        <v>5340</v>
      </c>
      <c r="D8" s="18">
        <v>0</v>
      </c>
      <c r="E8" s="19">
        <v>5340</v>
      </c>
      <c r="F8" s="21">
        <f aca="true" t="shared" si="0" ref="F8:F14">SUM(C8+D8-E8)</f>
        <v>0</v>
      </c>
      <c r="G8" s="205"/>
    </row>
    <row r="9" spans="2:7" ht="16.5">
      <c r="B9" s="20" t="s">
        <v>342</v>
      </c>
      <c r="C9" s="206">
        <v>289268.22</v>
      </c>
      <c r="D9" s="207">
        <v>0</v>
      </c>
      <c r="E9" s="208">
        <v>289268.22</v>
      </c>
      <c r="F9" s="21">
        <f t="shared" si="0"/>
        <v>0</v>
      </c>
      <c r="G9" s="209"/>
    </row>
    <row r="10" spans="2:7" ht="16.5">
      <c r="B10" s="20" t="s">
        <v>343</v>
      </c>
      <c r="C10" s="206">
        <v>6000</v>
      </c>
      <c r="D10" s="21">
        <v>0</v>
      </c>
      <c r="E10" s="22">
        <v>6000</v>
      </c>
      <c r="F10" s="21">
        <f t="shared" si="0"/>
        <v>0</v>
      </c>
      <c r="G10" s="209"/>
    </row>
    <row r="11" spans="2:7" ht="16.5">
      <c r="B11" s="20" t="s">
        <v>344</v>
      </c>
      <c r="C11" s="206">
        <v>64000</v>
      </c>
      <c r="D11" s="206">
        <v>0</v>
      </c>
      <c r="E11" s="22">
        <v>64000</v>
      </c>
      <c r="F11" s="21">
        <f t="shared" si="0"/>
        <v>0</v>
      </c>
      <c r="G11" s="209"/>
    </row>
    <row r="12" spans="2:7" ht="16.5">
      <c r="B12" s="20" t="s">
        <v>345</v>
      </c>
      <c r="C12" s="206">
        <v>1800</v>
      </c>
      <c r="D12" s="206">
        <v>0</v>
      </c>
      <c r="E12" s="22">
        <v>1800</v>
      </c>
      <c r="F12" s="21">
        <f t="shared" si="0"/>
        <v>0</v>
      </c>
      <c r="G12" s="209"/>
    </row>
    <row r="13" spans="2:7" ht="16.5">
      <c r="B13" s="20" t="s">
        <v>346</v>
      </c>
      <c r="C13" s="206">
        <v>0</v>
      </c>
      <c r="D13" s="206">
        <f>SUM(26000+27000+13000)</f>
        <v>66000</v>
      </c>
      <c r="E13" s="22">
        <v>5900</v>
      </c>
      <c r="F13" s="21">
        <f t="shared" si="0"/>
        <v>60100</v>
      </c>
      <c r="G13" s="209"/>
    </row>
    <row r="14" spans="2:7" ht="16.5">
      <c r="B14" s="20" t="s">
        <v>347</v>
      </c>
      <c r="C14" s="206">
        <v>0</v>
      </c>
      <c r="D14" s="206">
        <v>27000</v>
      </c>
      <c r="E14" s="22">
        <v>0</v>
      </c>
      <c r="F14" s="21">
        <f t="shared" si="0"/>
        <v>27000</v>
      </c>
      <c r="G14" s="209"/>
    </row>
    <row r="15" spans="2:7" ht="16.5">
      <c r="B15" s="20" t="s">
        <v>348</v>
      </c>
      <c r="C15" s="206">
        <v>0</v>
      </c>
      <c r="D15" s="206">
        <f>SUM(27000+13000)</f>
        <v>40000</v>
      </c>
      <c r="E15" s="22">
        <v>5900</v>
      </c>
      <c r="F15" s="21">
        <f>SUM(C15+D15-E15)</f>
        <v>34100</v>
      </c>
      <c r="G15" s="209"/>
    </row>
    <row r="16" spans="2:7" ht="16.5">
      <c r="B16" s="20" t="s">
        <v>349</v>
      </c>
      <c r="C16" s="206">
        <v>0</v>
      </c>
      <c r="D16" s="206">
        <f>SUM(19000+13000)</f>
        <v>32000</v>
      </c>
      <c r="E16" s="22">
        <v>5900</v>
      </c>
      <c r="F16" s="21">
        <f>SUM(C16+D16-E16)</f>
        <v>26100</v>
      </c>
      <c r="G16" s="209"/>
    </row>
    <row r="17" spans="2:7" ht="16.5">
      <c r="B17" s="58" t="s">
        <v>350</v>
      </c>
      <c r="C17" s="23">
        <v>0</v>
      </c>
      <c r="D17" s="206">
        <v>1021740</v>
      </c>
      <c r="E17" s="22">
        <v>0</v>
      </c>
      <c r="F17" s="21">
        <f>SUM(C17+D17-E17)</f>
        <v>1021740</v>
      </c>
      <c r="G17" s="209"/>
    </row>
    <row r="18" spans="2:7" ht="17.25" thickBot="1">
      <c r="B18" s="203" t="s">
        <v>152</v>
      </c>
      <c r="C18" s="24">
        <f>SUM(C8:C17)</f>
        <v>366408.22</v>
      </c>
      <c r="D18" s="24">
        <f>SUM(D8:D17)</f>
        <v>1186740</v>
      </c>
      <c r="E18" s="24">
        <f>SUM(E8:E17)</f>
        <v>384108.22</v>
      </c>
      <c r="F18" s="210">
        <f>SUM(F8:F17)</f>
        <v>1169040</v>
      </c>
      <c r="G18" s="211"/>
    </row>
    <row r="19" ht="17.25" thickTop="1"/>
  </sheetData>
  <sheetProtection/>
  <mergeCells count="9">
    <mergeCell ref="B1:G1"/>
    <mergeCell ref="B3:G3"/>
    <mergeCell ref="B4:G4"/>
    <mergeCell ref="G6:G7"/>
    <mergeCell ref="B6:B7"/>
    <mergeCell ref="B2:G2"/>
    <mergeCell ref="C6:D6"/>
    <mergeCell ref="E6:E7"/>
    <mergeCell ref="F6:F7"/>
  </mergeCells>
  <printOptions/>
  <pageMargins left="0.7" right="0.7" top="0.75" bottom="0.5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3">
      <selection activeCell="A19" sqref="A19:IV30"/>
    </sheetView>
  </sheetViews>
  <sheetFormatPr defaultColWidth="9.140625" defaultRowHeight="12.75"/>
  <cols>
    <col min="1" max="1" width="9.140625" style="8" customWidth="1"/>
    <col min="2" max="2" width="44.00390625" style="8" customWidth="1"/>
    <col min="3" max="3" width="11.7109375" style="8" customWidth="1"/>
    <col min="4" max="4" width="12.28125" style="8" customWidth="1"/>
    <col min="5" max="5" width="11.28125" style="8" customWidth="1"/>
    <col min="6" max="6" width="10.421875" style="8" customWidth="1"/>
    <col min="7" max="7" width="8.421875" style="8" customWidth="1"/>
    <col min="8" max="16384" width="9.140625" style="8" customWidth="1"/>
  </cols>
  <sheetData>
    <row r="1" spans="2:7" ht="18">
      <c r="B1" s="256" t="s">
        <v>106</v>
      </c>
      <c r="C1" s="256"/>
      <c r="D1" s="256"/>
      <c r="E1" s="256"/>
      <c r="F1" s="256"/>
      <c r="G1" s="256"/>
    </row>
    <row r="2" spans="2:7" ht="18">
      <c r="B2" s="252" t="s">
        <v>202</v>
      </c>
      <c r="C2" s="252"/>
      <c r="D2" s="252"/>
      <c r="E2" s="252"/>
      <c r="F2" s="252"/>
      <c r="G2" s="252"/>
    </row>
    <row r="3" spans="2:7" ht="18">
      <c r="B3" s="14"/>
      <c r="C3" s="14"/>
      <c r="D3" s="14"/>
      <c r="E3" s="14"/>
      <c r="F3" s="14"/>
      <c r="G3" s="14"/>
    </row>
    <row r="4" spans="2:7" ht="18">
      <c r="B4" s="202" t="s">
        <v>372</v>
      </c>
      <c r="C4" s="14"/>
      <c r="D4" s="14"/>
      <c r="E4" s="14"/>
      <c r="F4" s="14"/>
      <c r="G4" s="14"/>
    </row>
    <row r="5" spans="2:7" ht="18">
      <c r="B5" s="256"/>
      <c r="C5" s="256"/>
      <c r="D5" s="256"/>
      <c r="E5" s="256"/>
      <c r="F5" s="256"/>
      <c r="G5" s="256"/>
    </row>
    <row r="6" spans="2:7" ht="18">
      <c r="B6" s="257" t="s">
        <v>83</v>
      </c>
      <c r="C6" s="262" t="s">
        <v>153</v>
      </c>
      <c r="D6" s="263"/>
      <c r="E6" s="257" t="s">
        <v>338</v>
      </c>
      <c r="F6" s="257" t="s">
        <v>5</v>
      </c>
      <c r="G6" s="257" t="s">
        <v>154</v>
      </c>
    </row>
    <row r="7" spans="2:7" ht="18">
      <c r="B7" s="258"/>
      <c r="C7" s="60" t="s">
        <v>339</v>
      </c>
      <c r="D7" s="60" t="s">
        <v>340</v>
      </c>
      <c r="E7" s="258"/>
      <c r="F7" s="258"/>
      <c r="G7" s="258"/>
    </row>
    <row r="8" spans="2:7" ht="18">
      <c r="B8" s="212" t="s">
        <v>351</v>
      </c>
      <c r="C8" s="25">
        <v>229500</v>
      </c>
      <c r="D8" s="77">
        <v>0</v>
      </c>
      <c r="E8" s="25">
        <f>SUM(164441.29+53487.62)</f>
        <v>217928.91</v>
      </c>
      <c r="F8" s="77">
        <f aca="true" t="shared" si="0" ref="F8:F17">SUM(C8+D8-E8)</f>
        <v>11571.089999999997</v>
      </c>
      <c r="G8" s="213"/>
    </row>
    <row r="9" spans="2:7" ht="18">
      <c r="B9" s="212" t="s">
        <v>352</v>
      </c>
      <c r="C9" s="25">
        <v>18810</v>
      </c>
      <c r="D9" s="77">
        <v>0</v>
      </c>
      <c r="E9" s="25">
        <f>SUM(11913+5016)</f>
        <v>16929</v>
      </c>
      <c r="F9" s="77">
        <f t="shared" si="0"/>
        <v>1881</v>
      </c>
      <c r="G9" s="213"/>
    </row>
    <row r="10" spans="2:7" ht="18">
      <c r="B10" s="212" t="s">
        <v>353</v>
      </c>
      <c r="C10" s="25">
        <v>188300</v>
      </c>
      <c r="D10" s="77">
        <v>0</v>
      </c>
      <c r="E10" s="25">
        <f>SUM(120265.61+58893.45)</f>
        <v>179159.06</v>
      </c>
      <c r="F10" s="77">
        <f t="shared" si="0"/>
        <v>9140.940000000002</v>
      </c>
      <c r="G10" s="213"/>
    </row>
    <row r="11" spans="2:7" ht="18">
      <c r="B11" s="212" t="s">
        <v>354</v>
      </c>
      <c r="C11" s="25">
        <v>19590</v>
      </c>
      <c r="D11" s="77">
        <v>0</v>
      </c>
      <c r="E11" s="25">
        <f>SUM(12407+5224)</f>
        <v>17631</v>
      </c>
      <c r="F11" s="77">
        <f t="shared" si="0"/>
        <v>1959</v>
      </c>
      <c r="G11" s="213"/>
    </row>
    <row r="12" spans="2:7" ht="18">
      <c r="B12" s="212" t="s">
        <v>355</v>
      </c>
      <c r="C12" s="25">
        <v>93600</v>
      </c>
      <c r="D12" s="77">
        <v>0</v>
      </c>
      <c r="E12" s="25">
        <f>SUM(65520+21840)</f>
        <v>87360</v>
      </c>
      <c r="F12" s="77">
        <f t="shared" si="0"/>
        <v>6240</v>
      </c>
      <c r="G12" s="213"/>
    </row>
    <row r="13" spans="2:7" ht="18">
      <c r="B13" s="212" t="s">
        <v>356</v>
      </c>
      <c r="C13" s="25">
        <v>42900</v>
      </c>
      <c r="D13" s="77">
        <v>0</v>
      </c>
      <c r="E13" s="25">
        <f>SUM(31460+10010)</f>
        <v>41470</v>
      </c>
      <c r="F13" s="77">
        <f t="shared" si="0"/>
        <v>1430</v>
      </c>
      <c r="G13" s="213"/>
    </row>
    <row r="14" spans="2:7" ht="18">
      <c r="B14" s="212" t="s">
        <v>357</v>
      </c>
      <c r="C14" s="25">
        <v>47010</v>
      </c>
      <c r="D14" s="77">
        <v>0</v>
      </c>
      <c r="E14" s="25">
        <f>SUM(33429+11622)</f>
        <v>45051</v>
      </c>
      <c r="F14" s="77">
        <f t="shared" si="0"/>
        <v>1959</v>
      </c>
      <c r="G14" s="213"/>
    </row>
    <row r="15" spans="2:7" ht="18">
      <c r="B15" s="212" t="s">
        <v>358</v>
      </c>
      <c r="C15" s="25">
        <v>35760</v>
      </c>
      <c r="D15" s="77">
        <v>0</v>
      </c>
      <c r="E15" s="25">
        <f>SUM(25032+8344)</f>
        <v>33376</v>
      </c>
      <c r="F15" s="77">
        <f t="shared" si="0"/>
        <v>2384</v>
      </c>
      <c r="G15" s="213"/>
    </row>
    <row r="16" spans="2:7" ht="18">
      <c r="B16" s="212" t="s">
        <v>359</v>
      </c>
      <c r="C16" s="25">
        <v>19590</v>
      </c>
      <c r="D16" s="77">
        <v>0</v>
      </c>
      <c r="E16" s="25">
        <f>SUM(12407+5224)</f>
        <v>17631</v>
      </c>
      <c r="F16" s="77">
        <f t="shared" si="0"/>
        <v>1959</v>
      </c>
      <c r="G16" s="213"/>
    </row>
    <row r="17" spans="2:7" ht="18">
      <c r="B17" s="214" t="s">
        <v>360</v>
      </c>
      <c r="C17" s="179">
        <v>41730</v>
      </c>
      <c r="D17" s="81">
        <v>0</v>
      </c>
      <c r="E17" s="179">
        <f>SUM(31460+10010)</f>
        <v>41470</v>
      </c>
      <c r="F17" s="81">
        <f t="shared" si="0"/>
        <v>260</v>
      </c>
      <c r="G17" s="215"/>
    </row>
    <row r="18" spans="2:7" ht="18.75" thickBot="1">
      <c r="B18" s="216" t="s">
        <v>152</v>
      </c>
      <c r="C18" s="217">
        <f>SUM(C8:C17)</f>
        <v>736790</v>
      </c>
      <c r="D18" s="217">
        <f>SUM(D8:D17)</f>
        <v>0</v>
      </c>
      <c r="E18" s="217">
        <f>SUM(E8:E17)</f>
        <v>698005.97</v>
      </c>
      <c r="F18" s="201">
        <f>SUM(F8:F17)</f>
        <v>38784.03</v>
      </c>
      <c r="G18" s="218"/>
    </row>
    <row r="19" spans="3:5" ht="18.75" thickTop="1">
      <c r="C19" s="200"/>
      <c r="D19" s="200"/>
      <c r="E19" s="200"/>
    </row>
    <row r="20" spans="3:5" ht="18">
      <c r="C20" s="200"/>
      <c r="D20" s="200"/>
      <c r="E20" s="200"/>
    </row>
  </sheetData>
  <sheetProtection/>
  <mergeCells count="8">
    <mergeCell ref="B1:G1"/>
    <mergeCell ref="B2:G2"/>
    <mergeCell ref="B5:G5"/>
    <mergeCell ref="B6:B7"/>
    <mergeCell ref="C6:D6"/>
    <mergeCell ref="E6:E7"/>
    <mergeCell ref="F6:F7"/>
    <mergeCell ref="G6:G7"/>
  </mergeCells>
  <printOptions/>
  <pageMargins left="0.7" right="0.7" top="0.43" bottom="0.42" header="0.3" footer="0.1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E40" sqref="E1:E16384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4" ht="23.25">
      <c r="A1" s="27" t="s">
        <v>157</v>
      </c>
      <c r="B1" s="28"/>
      <c r="C1" s="28"/>
      <c r="D1" s="29"/>
    </row>
    <row r="2" spans="1:4" ht="23.25">
      <c r="A2" s="30"/>
      <c r="B2" s="31"/>
      <c r="C2" s="31" t="s">
        <v>286</v>
      </c>
      <c r="D2" s="32"/>
    </row>
    <row r="3" spans="1:4" s="56" customFormat="1" ht="31.5">
      <c r="A3" s="33" t="s">
        <v>158</v>
      </c>
      <c r="B3" s="34"/>
      <c r="C3" s="34"/>
      <c r="D3" s="35"/>
    </row>
    <row r="4" spans="1:4" ht="23.25">
      <c r="A4" s="30"/>
      <c r="B4" s="31"/>
      <c r="C4" s="31" t="s">
        <v>317</v>
      </c>
      <c r="D4" s="32"/>
    </row>
    <row r="5" spans="1:5" ht="23.25">
      <c r="A5" s="30" t="s">
        <v>373</v>
      </c>
      <c r="B5" s="31"/>
      <c r="C5" s="31"/>
      <c r="D5" s="36">
        <v>10889366.11</v>
      </c>
      <c r="E5" s="2"/>
    </row>
    <row r="6" spans="1:4" ht="23.25">
      <c r="A6" s="30" t="s">
        <v>159</v>
      </c>
      <c r="B6" s="31"/>
      <c r="C6" s="31"/>
      <c r="D6" s="37"/>
    </row>
    <row r="7" spans="1:4" ht="23.25">
      <c r="A7" s="38" t="s">
        <v>160</v>
      </c>
      <c r="B7" s="39" t="s">
        <v>161</v>
      </c>
      <c r="C7" s="39" t="s">
        <v>153</v>
      </c>
      <c r="D7" s="37"/>
    </row>
    <row r="8" spans="1:5" ht="23.25">
      <c r="A8" s="30"/>
      <c r="B8" s="31"/>
      <c r="C8" s="31"/>
      <c r="D8" s="37"/>
      <c r="E8" s="31"/>
    </row>
    <row r="9" spans="1:5" ht="23.25">
      <c r="A9" s="40"/>
      <c r="B9" s="41"/>
      <c r="C9" s="41"/>
      <c r="D9" s="42"/>
      <c r="E9" s="31"/>
    </row>
    <row r="10" spans="1:4" ht="23.25">
      <c r="A10" s="30" t="s">
        <v>162</v>
      </c>
      <c r="B10" s="31"/>
      <c r="C10" s="31"/>
      <c r="D10" s="37"/>
    </row>
    <row r="11" spans="1:4" ht="23.25">
      <c r="A11" s="38" t="s">
        <v>163</v>
      </c>
      <c r="B11" s="39" t="s">
        <v>164</v>
      </c>
      <c r="C11" s="39" t="s">
        <v>153</v>
      </c>
      <c r="D11" s="37"/>
    </row>
    <row r="12" spans="1:4" ht="23.25">
      <c r="A12" s="183" t="s">
        <v>376</v>
      </c>
      <c r="B12" s="190" t="s">
        <v>377</v>
      </c>
      <c r="C12" s="45">
        <v>3134.42</v>
      </c>
      <c r="D12" s="104">
        <v>3134.42</v>
      </c>
    </row>
    <row r="13" spans="1:4" ht="23.25">
      <c r="A13" s="46" t="s">
        <v>378</v>
      </c>
      <c r="B13" s="190" t="s">
        <v>379</v>
      </c>
      <c r="C13" s="48">
        <v>168233.93</v>
      </c>
      <c r="D13" s="42">
        <f>SUM(C13)</f>
        <v>168233.93</v>
      </c>
    </row>
    <row r="14" spans="1:4" ht="23.25">
      <c r="A14" s="183" t="s">
        <v>378</v>
      </c>
      <c r="B14" s="190" t="s">
        <v>380</v>
      </c>
      <c r="C14" s="48">
        <v>71773.07</v>
      </c>
      <c r="D14" s="37">
        <f>SUM(C14)</f>
        <v>71773.07</v>
      </c>
    </row>
    <row r="15" spans="1:4" ht="23.25">
      <c r="A15" s="46"/>
      <c r="B15" s="109"/>
      <c r="C15" s="48"/>
      <c r="D15" s="42"/>
    </row>
    <row r="16" spans="1:4" ht="23.25">
      <c r="A16" s="183"/>
      <c r="B16" s="108"/>
      <c r="C16" s="48"/>
      <c r="D16" s="42"/>
    </row>
    <row r="17" spans="1:5" ht="23.25">
      <c r="A17" s="46"/>
      <c r="B17" s="47"/>
      <c r="C17" s="48"/>
      <c r="D17" s="37"/>
      <c r="E17" s="57"/>
    </row>
    <row r="18" spans="1:5" ht="23.25">
      <c r="A18" s="46" t="s">
        <v>165</v>
      </c>
      <c r="B18" s="47"/>
      <c r="C18" s="48"/>
      <c r="D18" s="42"/>
      <c r="E18" s="194"/>
    </row>
    <row r="19" spans="1:5" ht="23.25">
      <c r="A19" s="30" t="s">
        <v>166</v>
      </c>
      <c r="B19" s="31"/>
      <c r="C19" s="31"/>
      <c r="D19" s="37"/>
      <c r="E19" s="31"/>
    </row>
    <row r="20" spans="1:5" ht="23.25">
      <c r="A20" s="30" t="s">
        <v>167</v>
      </c>
      <c r="B20" s="31"/>
      <c r="C20" s="31"/>
      <c r="D20" s="37"/>
      <c r="E20" s="31"/>
    </row>
    <row r="21" spans="1:5" ht="23.25">
      <c r="A21" s="49" t="s">
        <v>163</v>
      </c>
      <c r="B21" s="50" t="s">
        <v>164</v>
      </c>
      <c r="C21" s="50" t="s">
        <v>153</v>
      </c>
      <c r="D21" s="42"/>
      <c r="E21" s="31"/>
    </row>
    <row r="22" spans="1:5" ht="23.25">
      <c r="A22" s="43"/>
      <c r="B22" s="44"/>
      <c r="C22" s="45"/>
      <c r="D22" s="37"/>
      <c r="E22" s="31"/>
    </row>
    <row r="23" spans="1:5" ht="23.25">
      <c r="A23" s="51"/>
      <c r="B23" s="47"/>
      <c r="C23" s="52"/>
      <c r="D23" s="42"/>
      <c r="E23" s="31"/>
    </row>
    <row r="24" spans="1:5" ht="23.25">
      <c r="A24" s="53" t="s">
        <v>374</v>
      </c>
      <c r="B24" s="54"/>
      <c r="C24" s="31"/>
      <c r="D24" s="37">
        <v>10646224.69</v>
      </c>
      <c r="E24" s="194"/>
    </row>
    <row r="25" spans="1:5" ht="23.25">
      <c r="A25" s="30" t="s">
        <v>168</v>
      </c>
      <c r="B25" s="31"/>
      <c r="C25" s="55" t="s">
        <v>169</v>
      </c>
      <c r="D25" s="29"/>
      <c r="E25" s="31"/>
    </row>
    <row r="26" spans="1:5" ht="23.25">
      <c r="A26" s="30"/>
      <c r="B26" s="31"/>
      <c r="C26" s="30"/>
      <c r="D26" s="32"/>
      <c r="E26" s="31"/>
    </row>
    <row r="27" spans="1:5" ht="23.25">
      <c r="A27" s="30" t="s">
        <v>170</v>
      </c>
      <c r="B27" s="31" t="s">
        <v>375</v>
      </c>
      <c r="C27" s="30" t="s">
        <v>171</v>
      </c>
      <c r="D27" s="32" t="s">
        <v>375</v>
      </c>
      <c r="E27" s="31"/>
    </row>
    <row r="28" spans="1:5" ht="23.25">
      <c r="A28" s="237" t="s">
        <v>319</v>
      </c>
      <c r="B28" s="238"/>
      <c r="C28" s="237" t="s">
        <v>361</v>
      </c>
      <c r="D28" s="239"/>
      <c r="E28" s="31"/>
    </row>
    <row r="29" spans="1:5" ht="23.25">
      <c r="A29" s="44"/>
      <c r="B29" s="44"/>
      <c r="C29" s="44"/>
      <c r="D29" s="44"/>
      <c r="E29" s="31"/>
    </row>
    <row r="30" spans="1:5" ht="23.25">
      <c r="A30" s="44"/>
      <c r="B30" s="44"/>
      <c r="C30" s="44"/>
      <c r="D30" s="44"/>
      <c r="E30" s="31"/>
    </row>
    <row r="31" spans="1:4" ht="23.25">
      <c r="A31" s="27" t="s">
        <v>157</v>
      </c>
      <c r="B31" s="28"/>
      <c r="C31" s="28"/>
      <c r="D31" s="29"/>
    </row>
    <row r="32" spans="1:4" ht="23.25">
      <c r="A32" s="30"/>
      <c r="B32" s="31"/>
      <c r="C32" s="31" t="s">
        <v>291</v>
      </c>
      <c r="D32" s="32"/>
    </row>
    <row r="33" spans="1:4" ht="31.5">
      <c r="A33" s="33" t="s">
        <v>158</v>
      </c>
      <c r="B33" s="34"/>
      <c r="C33" s="34"/>
      <c r="D33" s="35"/>
    </row>
    <row r="34" spans="1:4" ht="23.25">
      <c r="A34" s="30"/>
      <c r="B34" s="31"/>
      <c r="C34" s="31" t="s">
        <v>292</v>
      </c>
      <c r="D34" s="32"/>
    </row>
    <row r="35" spans="1:4" ht="23.25">
      <c r="A35" s="30" t="s">
        <v>327</v>
      </c>
      <c r="B35" s="31"/>
      <c r="C35" s="31"/>
      <c r="D35" s="36">
        <v>7796407.8</v>
      </c>
    </row>
    <row r="36" spans="1:4" ht="23.25">
      <c r="A36" s="30" t="s">
        <v>159</v>
      </c>
      <c r="B36" s="31"/>
      <c r="C36" s="31"/>
      <c r="D36" s="37"/>
    </row>
    <row r="37" spans="1:4" ht="23.25">
      <c r="A37" s="38" t="s">
        <v>160</v>
      </c>
      <c r="B37" s="39" t="s">
        <v>161</v>
      </c>
      <c r="C37" s="39" t="s">
        <v>153</v>
      </c>
      <c r="D37" s="37"/>
    </row>
    <row r="38" spans="1:4" ht="23.25">
      <c r="A38" s="43"/>
      <c r="B38" s="180"/>
      <c r="C38" s="31"/>
      <c r="D38" s="37"/>
    </row>
    <row r="39" spans="1:4" ht="23.25">
      <c r="A39" s="40"/>
      <c r="B39" s="41"/>
      <c r="C39" s="41"/>
      <c r="D39" s="42"/>
    </row>
    <row r="40" spans="1:4" ht="23.25">
      <c r="A40" s="30" t="s">
        <v>162</v>
      </c>
      <c r="B40" s="31"/>
      <c r="C40" s="31"/>
      <c r="D40" s="37"/>
    </row>
    <row r="41" spans="1:4" ht="23.25">
      <c r="A41" s="38" t="s">
        <v>163</v>
      </c>
      <c r="B41" s="39" t="s">
        <v>164</v>
      </c>
      <c r="C41" s="39" t="s">
        <v>153</v>
      </c>
      <c r="D41" s="37"/>
    </row>
    <row r="42" spans="1:4" ht="23.25">
      <c r="A42" s="107"/>
      <c r="B42" s="108"/>
      <c r="C42" s="182"/>
      <c r="D42" s="104"/>
    </row>
    <row r="43" spans="1:4" ht="23.25">
      <c r="A43" s="107"/>
      <c r="B43" s="109"/>
      <c r="C43" s="45"/>
      <c r="D43" s="104"/>
    </row>
    <row r="44" spans="1:4" ht="23.25">
      <c r="A44" s="107"/>
      <c r="B44" s="108"/>
      <c r="C44" s="48"/>
      <c r="D44" s="42">
        <f>SUM(C44)</f>
        <v>0</v>
      </c>
    </row>
    <row r="45" spans="1:4" ht="23.25">
      <c r="A45" s="107"/>
      <c r="B45" s="181"/>
      <c r="C45" s="48"/>
      <c r="D45" s="37">
        <f>SUM(C45)</f>
        <v>0</v>
      </c>
    </row>
    <row r="46" spans="1:4" ht="23.25">
      <c r="A46" s="107"/>
      <c r="B46" s="109"/>
      <c r="C46" s="48"/>
      <c r="D46" s="42">
        <f>SUM(C46)</f>
        <v>0</v>
      </c>
    </row>
    <row r="47" spans="1:4" ht="23.25">
      <c r="A47" s="107"/>
      <c r="B47" s="108"/>
      <c r="C47" s="48"/>
      <c r="D47" s="42">
        <f>SUM(C47)</f>
        <v>0</v>
      </c>
    </row>
    <row r="48" spans="1:4" ht="23.25">
      <c r="A48" s="46" t="s">
        <v>165</v>
      </c>
      <c r="B48" s="47"/>
      <c r="C48" s="48"/>
      <c r="D48" s="42"/>
    </row>
    <row r="49" spans="1:4" ht="23.25">
      <c r="A49" s="30" t="s">
        <v>166</v>
      </c>
      <c r="B49" s="31"/>
      <c r="C49" s="31"/>
      <c r="D49" s="37"/>
    </row>
    <row r="50" spans="1:4" ht="23.25">
      <c r="A50" s="30" t="s">
        <v>300</v>
      </c>
      <c r="B50" s="31"/>
      <c r="C50" s="31"/>
      <c r="D50" s="37"/>
    </row>
    <row r="51" spans="1:4" ht="23.25">
      <c r="A51" s="49" t="s">
        <v>163</v>
      </c>
      <c r="B51" s="50" t="s">
        <v>164</v>
      </c>
      <c r="C51" s="50" t="s">
        <v>153</v>
      </c>
      <c r="D51" s="42"/>
    </row>
    <row r="52" spans="1:4" ht="23.25">
      <c r="A52" s="128"/>
      <c r="B52" s="44"/>
      <c r="C52" s="45"/>
      <c r="D52" s="37">
        <f>SUM(C52)</f>
        <v>0</v>
      </c>
    </row>
    <row r="53" spans="1:5" ht="23.25">
      <c r="A53" s="51"/>
      <c r="B53" s="47"/>
      <c r="C53" s="52"/>
      <c r="D53" s="42"/>
      <c r="E53" s="57"/>
    </row>
    <row r="54" spans="1:4" ht="23.25">
      <c r="A54" s="53" t="s">
        <v>328</v>
      </c>
      <c r="B54" s="54"/>
      <c r="C54" s="31"/>
      <c r="D54" s="37">
        <f>SUM(D35-D42-D43-D44-D45-D46-D47-D52-D53)</f>
        <v>7796407.8</v>
      </c>
    </row>
    <row r="55" spans="1:4" ht="23.25">
      <c r="A55" s="30" t="s">
        <v>168</v>
      </c>
      <c r="B55" s="31"/>
      <c r="C55" s="55" t="s">
        <v>169</v>
      </c>
      <c r="D55" s="29"/>
    </row>
    <row r="56" spans="1:4" ht="23.25">
      <c r="A56" s="30"/>
      <c r="B56" s="31"/>
      <c r="C56" s="30"/>
      <c r="D56" s="32"/>
    </row>
    <row r="57" spans="1:4" ht="23.25">
      <c r="A57" s="30" t="s">
        <v>170</v>
      </c>
      <c r="B57" s="31" t="s">
        <v>329</v>
      </c>
      <c r="C57" s="30" t="s">
        <v>171</v>
      </c>
      <c r="D57" s="32" t="s">
        <v>330</v>
      </c>
    </row>
    <row r="58" spans="1:4" ht="23.25">
      <c r="A58" s="237" t="s">
        <v>320</v>
      </c>
      <c r="B58" s="238"/>
      <c r="C58" s="237" t="s">
        <v>172</v>
      </c>
      <c r="D58" s="239"/>
    </row>
    <row r="59" spans="1:4" ht="23.25">
      <c r="A59" s="44"/>
      <c r="B59" s="44"/>
      <c r="C59" s="44"/>
      <c r="D59" s="44"/>
    </row>
    <row r="60" spans="1:4" ht="23.25">
      <c r="A60" s="44"/>
      <c r="B60" s="44"/>
      <c r="C60" s="44"/>
      <c r="D60" s="44"/>
    </row>
    <row r="62" spans="1:4" ht="23.25">
      <c r="A62" s="27" t="s">
        <v>157</v>
      </c>
      <c r="B62" s="28"/>
      <c r="C62" s="28"/>
      <c r="D62" s="29"/>
    </row>
    <row r="63" spans="1:4" ht="23.25">
      <c r="A63" s="30"/>
      <c r="B63" s="31"/>
      <c r="C63" s="31" t="s">
        <v>321</v>
      </c>
      <c r="D63" s="32"/>
    </row>
    <row r="64" spans="1:4" s="56" customFormat="1" ht="31.5">
      <c r="A64" s="33" t="s">
        <v>158</v>
      </c>
      <c r="B64" s="34"/>
      <c r="C64" s="34"/>
      <c r="D64" s="35"/>
    </row>
    <row r="65" spans="1:4" ht="23.25">
      <c r="A65" s="30"/>
      <c r="B65" s="31"/>
      <c r="C65" s="31" t="s">
        <v>323</v>
      </c>
      <c r="D65" s="32"/>
    </row>
    <row r="66" spans="1:5" ht="23.25">
      <c r="A66" s="30" t="s">
        <v>331</v>
      </c>
      <c r="B66" s="31"/>
      <c r="C66" s="31"/>
      <c r="D66" s="36">
        <v>3175874.33</v>
      </c>
      <c r="E66" s="2"/>
    </row>
    <row r="67" spans="1:4" ht="23.25">
      <c r="A67" s="30" t="s">
        <v>159</v>
      </c>
      <c r="B67" s="31"/>
      <c r="C67" s="31"/>
      <c r="D67" s="37"/>
    </row>
    <row r="68" spans="1:4" ht="23.25">
      <c r="A68" s="38" t="s">
        <v>160</v>
      </c>
      <c r="B68" s="39" t="s">
        <v>161</v>
      </c>
      <c r="C68" s="39" t="s">
        <v>153</v>
      </c>
      <c r="D68" s="37"/>
    </row>
    <row r="69" spans="1:5" ht="23.25">
      <c r="A69" s="30"/>
      <c r="B69" s="31"/>
      <c r="C69" s="31"/>
      <c r="D69" s="37"/>
      <c r="E69" s="31"/>
    </row>
    <row r="70" spans="1:5" ht="23.25">
      <c r="A70" s="40"/>
      <c r="B70" s="41"/>
      <c r="C70" s="41"/>
      <c r="D70" s="42"/>
      <c r="E70" s="31"/>
    </row>
    <row r="71" spans="1:4" ht="23.25">
      <c r="A71" s="30" t="s">
        <v>162</v>
      </c>
      <c r="B71" s="31"/>
      <c r="C71" s="31"/>
      <c r="D71" s="37"/>
    </row>
    <row r="72" spans="1:4" ht="23.25">
      <c r="A72" s="38" t="s">
        <v>163</v>
      </c>
      <c r="B72" s="39" t="s">
        <v>164</v>
      </c>
      <c r="C72" s="39" t="s">
        <v>153</v>
      </c>
      <c r="D72" s="37"/>
    </row>
    <row r="73" spans="1:4" ht="23.25">
      <c r="A73" s="183"/>
      <c r="B73" s="199"/>
      <c r="C73" s="45"/>
      <c r="D73" s="104"/>
    </row>
    <row r="74" spans="1:4" ht="23.25">
      <c r="A74" s="46"/>
      <c r="B74" s="108"/>
      <c r="C74" s="48"/>
      <c r="D74" s="42"/>
    </row>
    <row r="75" spans="1:4" ht="23.25">
      <c r="A75" s="183"/>
      <c r="B75" s="181"/>
      <c r="C75" s="48"/>
      <c r="D75" s="37"/>
    </row>
    <row r="76" spans="1:4" ht="23.25">
      <c r="A76" s="46"/>
      <c r="B76" s="109"/>
      <c r="C76" s="48"/>
      <c r="D76" s="42"/>
    </row>
    <row r="77" spans="1:4" ht="23.25">
      <c r="A77" s="183"/>
      <c r="B77" s="108"/>
      <c r="C77" s="48"/>
      <c r="D77" s="42"/>
    </row>
    <row r="78" spans="1:5" ht="23.25">
      <c r="A78" s="240"/>
      <c r="B78" s="241"/>
      <c r="C78" s="241"/>
      <c r="D78" s="37"/>
      <c r="E78" s="57"/>
    </row>
    <row r="79" spans="1:5" ht="23.25">
      <c r="A79" s="46" t="s">
        <v>165</v>
      </c>
      <c r="B79" s="47"/>
      <c r="C79" s="48"/>
      <c r="D79" s="42"/>
      <c r="E79" s="31"/>
    </row>
    <row r="80" spans="1:5" ht="23.25">
      <c r="A80" s="30" t="s">
        <v>166</v>
      </c>
      <c r="B80" s="31"/>
      <c r="C80" s="31"/>
      <c r="D80" s="37"/>
      <c r="E80" s="31"/>
    </row>
    <row r="81" spans="1:5" ht="23.25">
      <c r="A81" s="30" t="s">
        <v>167</v>
      </c>
      <c r="B81" s="242" t="s">
        <v>322</v>
      </c>
      <c r="C81" s="242"/>
      <c r="D81" s="37">
        <v>20008.58</v>
      </c>
      <c r="E81" s="31"/>
    </row>
    <row r="82" spans="1:5" ht="23.25">
      <c r="A82" s="49" t="s">
        <v>163</v>
      </c>
      <c r="B82" s="50" t="s">
        <v>164</v>
      </c>
      <c r="C82" s="50" t="s">
        <v>153</v>
      </c>
      <c r="D82" s="42"/>
      <c r="E82" s="31"/>
    </row>
    <row r="83" spans="1:5" ht="23.25">
      <c r="A83" s="43"/>
      <c r="B83" s="44"/>
      <c r="C83" s="45"/>
      <c r="D83" s="37"/>
      <c r="E83" s="31"/>
    </row>
    <row r="84" spans="1:5" ht="23.25">
      <c r="A84" s="51"/>
      <c r="B84" s="47"/>
      <c r="C84" s="52"/>
      <c r="D84" s="42"/>
      <c r="E84" s="31"/>
    </row>
    <row r="85" spans="1:5" ht="23.25">
      <c r="A85" s="53" t="s">
        <v>332</v>
      </c>
      <c r="B85" s="54"/>
      <c r="C85" s="31"/>
      <c r="D85" s="37">
        <v>3155865.75</v>
      </c>
      <c r="E85" s="194"/>
    </row>
    <row r="86" spans="1:5" ht="23.25">
      <c r="A86" s="30" t="s">
        <v>168</v>
      </c>
      <c r="B86" s="31"/>
      <c r="C86" s="55" t="s">
        <v>169</v>
      </c>
      <c r="D86" s="29"/>
      <c r="E86" s="198"/>
    </row>
    <row r="87" spans="1:5" ht="23.25">
      <c r="A87" s="30"/>
      <c r="B87" s="31"/>
      <c r="C87" s="30"/>
      <c r="D87" s="32"/>
      <c r="E87" s="194"/>
    </row>
    <row r="88" spans="1:5" ht="23.25">
      <c r="A88" s="30" t="s">
        <v>170</v>
      </c>
      <c r="B88" s="31" t="s">
        <v>329</v>
      </c>
      <c r="C88" s="30" t="s">
        <v>171</v>
      </c>
      <c r="D88" s="32" t="s">
        <v>326</v>
      </c>
      <c r="E88" s="31"/>
    </row>
    <row r="89" spans="1:5" ht="23.25">
      <c r="A89" s="237" t="s">
        <v>319</v>
      </c>
      <c r="B89" s="238"/>
      <c r="C89" s="237" t="s">
        <v>172</v>
      </c>
      <c r="D89" s="239"/>
      <c r="E89" s="31"/>
    </row>
  </sheetData>
  <sheetProtection/>
  <mergeCells count="8">
    <mergeCell ref="A89:B89"/>
    <mergeCell ref="C89:D89"/>
    <mergeCell ref="A78:C78"/>
    <mergeCell ref="A28:B28"/>
    <mergeCell ref="C28:D28"/>
    <mergeCell ref="A58:B58"/>
    <mergeCell ref="C58:D58"/>
    <mergeCell ref="B81:C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71">
      <selection activeCell="H87" sqref="H87"/>
    </sheetView>
  </sheetViews>
  <sheetFormatPr defaultColWidth="9.140625" defaultRowHeight="12.75"/>
  <cols>
    <col min="1" max="1" width="14.421875" style="130" customWidth="1"/>
    <col min="2" max="2" width="15.7109375" style="130" customWidth="1"/>
    <col min="3" max="3" width="37.7109375" style="130" customWidth="1"/>
    <col min="4" max="4" width="12.28125" style="177" customWidth="1"/>
    <col min="5" max="5" width="18.7109375" style="130" customWidth="1"/>
    <col min="6" max="6" width="11.28125" style="130" customWidth="1"/>
    <col min="7" max="7" width="13.8515625" style="130" customWidth="1"/>
    <col min="8" max="8" width="18.00390625" style="130" customWidth="1"/>
    <col min="9" max="9" width="19.421875" style="131" customWidth="1"/>
    <col min="10" max="10" width="18.8515625" style="130" customWidth="1"/>
    <col min="11" max="11" width="17.140625" style="130" customWidth="1"/>
    <col min="12" max="12" width="11.7109375" style="130" bestFit="1" customWidth="1"/>
    <col min="13" max="16384" width="9.140625" style="130" customWidth="1"/>
  </cols>
  <sheetData>
    <row r="1" spans="1:5" ht="18.75">
      <c r="A1" s="243" t="s">
        <v>18</v>
      </c>
      <c r="B1" s="243"/>
      <c r="C1" s="243"/>
      <c r="D1" s="243"/>
      <c r="E1" s="243"/>
    </row>
    <row r="2" spans="1:5" ht="18.75">
      <c r="A2" s="243" t="s">
        <v>19</v>
      </c>
      <c r="B2" s="243"/>
      <c r="C2" s="243"/>
      <c r="D2" s="243"/>
      <c r="E2" s="243"/>
    </row>
    <row r="3" spans="1:4" ht="18.75">
      <c r="A3" s="129"/>
      <c r="B3" s="129"/>
      <c r="C3" s="129"/>
      <c r="D3" s="124" t="s">
        <v>334</v>
      </c>
    </row>
    <row r="4" spans="1:5" ht="18.75">
      <c r="A4" s="228" t="s">
        <v>20</v>
      </c>
      <c r="B4" s="228"/>
      <c r="C4" s="228"/>
      <c r="D4" s="228"/>
      <c r="E4" s="228"/>
    </row>
    <row r="5" spans="1:5" ht="19.5" thickBot="1">
      <c r="A5" s="132"/>
      <c r="B5" s="132"/>
      <c r="C5" s="132"/>
      <c r="D5" s="124" t="s">
        <v>369</v>
      </c>
      <c r="E5" s="132"/>
    </row>
    <row r="6" spans="1:7" ht="19.5" thickTop="1">
      <c r="A6" s="244" t="s">
        <v>21</v>
      </c>
      <c r="B6" s="245"/>
      <c r="C6" s="133"/>
      <c r="D6" s="134"/>
      <c r="E6" s="135" t="s">
        <v>145</v>
      </c>
      <c r="G6" s="130" t="s">
        <v>311</v>
      </c>
    </row>
    <row r="7" spans="1:7" ht="18.75">
      <c r="A7" s="136" t="s">
        <v>119</v>
      </c>
      <c r="B7" s="137" t="s">
        <v>22</v>
      </c>
      <c r="C7" s="138" t="s">
        <v>85</v>
      </c>
      <c r="D7" s="139" t="s">
        <v>23</v>
      </c>
      <c r="E7" s="140" t="s">
        <v>22</v>
      </c>
      <c r="G7" s="130" t="s">
        <v>310</v>
      </c>
    </row>
    <row r="8" spans="1:7" ht="19.5" thickBot="1">
      <c r="A8" s="141" t="s">
        <v>24</v>
      </c>
      <c r="B8" s="142" t="s">
        <v>24</v>
      </c>
      <c r="C8" s="141"/>
      <c r="D8" s="143" t="s">
        <v>25</v>
      </c>
      <c r="E8" s="142" t="s">
        <v>24</v>
      </c>
      <c r="G8" s="130" t="s">
        <v>22</v>
      </c>
    </row>
    <row r="9" spans="1:6" ht="19.5" thickTop="1">
      <c r="A9" s="133"/>
      <c r="B9" s="144">
        <v>21756620.35</v>
      </c>
      <c r="C9" s="145" t="s">
        <v>26</v>
      </c>
      <c r="D9" s="134"/>
      <c r="E9" s="146">
        <v>24925715.01</v>
      </c>
      <c r="F9" s="130" t="s">
        <v>312</v>
      </c>
    </row>
    <row r="10" spans="1:11" ht="18.75">
      <c r="A10" s="138"/>
      <c r="B10" s="144"/>
      <c r="C10" s="147" t="s">
        <v>306</v>
      </c>
      <c r="D10" s="139"/>
      <c r="E10" s="148"/>
      <c r="I10" s="112"/>
      <c r="J10" s="111" t="s">
        <v>190</v>
      </c>
      <c r="K10" s="111" t="s">
        <v>46</v>
      </c>
    </row>
    <row r="11" spans="1:12" ht="18.75">
      <c r="A11" s="144">
        <v>69850</v>
      </c>
      <c r="B11" s="148">
        <v>3733.65</v>
      </c>
      <c r="C11" s="149" t="s">
        <v>27</v>
      </c>
      <c r="D11" s="139" t="s">
        <v>28</v>
      </c>
      <c r="E11" s="148">
        <v>3733.65</v>
      </c>
      <c r="G11" s="150">
        <f>SUM(B11+E11)</f>
        <v>7467.3</v>
      </c>
      <c r="I11" s="112" t="s">
        <v>191</v>
      </c>
      <c r="J11" s="119">
        <f>SUM(B11:B17)</f>
        <v>5864775.96</v>
      </c>
      <c r="K11" s="119">
        <f>SUM(B49+B51+B52+B53+B54+B56+B58+B60+B61+B63+B65)</f>
        <v>2980606.7300000004</v>
      </c>
      <c r="L11" s="150">
        <f>SUM(J11-K11)</f>
        <v>2884169.2299999995</v>
      </c>
    </row>
    <row r="12" spans="1:12" ht="18.75">
      <c r="A12" s="144">
        <v>350</v>
      </c>
      <c r="B12" s="148">
        <v>292.68</v>
      </c>
      <c r="C12" s="149" t="s">
        <v>29</v>
      </c>
      <c r="D12" s="139" t="s">
        <v>30</v>
      </c>
      <c r="E12" s="148">
        <v>0</v>
      </c>
      <c r="G12" s="150">
        <f aca="true" t="shared" si="0" ref="G12:G28">SUM(B12+E12)</f>
        <v>292.68</v>
      </c>
      <c r="I12" s="112" t="s">
        <v>41</v>
      </c>
      <c r="J12" s="119">
        <f>SUM(B18)</f>
        <v>3727194</v>
      </c>
      <c r="K12" s="119">
        <f>SUM(B50+B57+B59+B62+B64+B66+B67)</f>
        <v>1267614.4</v>
      </c>
      <c r="L12" s="150">
        <f>SUM(J12-K12)</f>
        <v>2459579.6</v>
      </c>
    </row>
    <row r="13" spans="1:11" ht="18.75">
      <c r="A13" s="144">
        <v>107140</v>
      </c>
      <c r="B13" s="148">
        <v>78704.6</v>
      </c>
      <c r="C13" s="149" t="s">
        <v>31</v>
      </c>
      <c r="D13" s="139" t="s">
        <v>32</v>
      </c>
      <c r="E13" s="148">
        <v>989.89</v>
      </c>
      <c r="G13" s="150">
        <f>SUM(B13+E13)</f>
        <v>79694.49</v>
      </c>
      <c r="J13" s="150">
        <f>SUM(J11:J12)</f>
        <v>9591969.96</v>
      </c>
      <c r="K13" s="150">
        <f>SUM(K11:K12)</f>
        <v>4248221.130000001</v>
      </c>
    </row>
    <row r="14" spans="1:10" ht="18.75">
      <c r="A14" s="144">
        <v>0</v>
      </c>
      <c r="B14" s="148">
        <v>0</v>
      </c>
      <c r="C14" s="149" t="s">
        <v>33</v>
      </c>
      <c r="D14" s="139" t="s">
        <v>34</v>
      </c>
      <c r="E14" s="148">
        <v>0</v>
      </c>
      <c r="G14" s="150">
        <f t="shared" si="0"/>
        <v>0</v>
      </c>
      <c r="I14" s="112" t="s">
        <v>196</v>
      </c>
      <c r="J14" s="119">
        <v>688200</v>
      </c>
    </row>
    <row r="15" spans="1:10" ht="18.75">
      <c r="A15" s="144">
        <v>198250</v>
      </c>
      <c r="B15" s="148">
        <v>3000</v>
      </c>
      <c r="C15" s="149" t="s">
        <v>35</v>
      </c>
      <c r="D15" s="139" t="s">
        <v>36</v>
      </c>
      <c r="E15" s="148">
        <v>0</v>
      </c>
      <c r="G15" s="150">
        <f t="shared" si="0"/>
        <v>3000</v>
      </c>
      <c r="J15" s="150">
        <f>SUM(J13:J14)</f>
        <v>10280169.96</v>
      </c>
    </row>
    <row r="16" spans="1:7" ht="18.75">
      <c r="A16" s="144">
        <v>0</v>
      </c>
      <c r="B16" s="148">
        <v>0</v>
      </c>
      <c r="C16" s="149" t="s">
        <v>37</v>
      </c>
      <c r="D16" s="139" t="s">
        <v>38</v>
      </c>
      <c r="E16" s="148">
        <v>0</v>
      </c>
      <c r="G16" s="150">
        <f t="shared" si="0"/>
        <v>0</v>
      </c>
    </row>
    <row r="17" spans="1:7" ht="18.75">
      <c r="A17" s="144">
        <v>9808360</v>
      </c>
      <c r="B17" s="148">
        <v>5779045.03</v>
      </c>
      <c r="C17" s="149" t="s">
        <v>39</v>
      </c>
      <c r="D17" s="139" t="s">
        <v>40</v>
      </c>
      <c r="E17" s="148">
        <v>3257504.57</v>
      </c>
      <c r="F17" s="150"/>
      <c r="G17" s="150">
        <f>SUM(B17+E17)</f>
        <v>9036549.6</v>
      </c>
    </row>
    <row r="18" spans="1:7" ht="18.75">
      <c r="A18" s="151">
        <v>7615990</v>
      </c>
      <c r="B18" s="152">
        <v>3727194</v>
      </c>
      <c r="C18" s="149" t="s">
        <v>41</v>
      </c>
      <c r="D18" s="139" t="s">
        <v>42</v>
      </c>
      <c r="E18" s="152">
        <v>0</v>
      </c>
      <c r="G18" s="150">
        <f t="shared" si="0"/>
        <v>3727194</v>
      </c>
    </row>
    <row r="19" spans="1:7" ht="19.5" thickBot="1">
      <c r="A19" s="153">
        <f>SUM(A11:A18)</f>
        <v>17799940</v>
      </c>
      <c r="B19" s="154">
        <f>SUM(B11:B18)</f>
        <v>9591969.96</v>
      </c>
      <c r="D19" s="139"/>
      <c r="E19" s="154">
        <f>SUM(E11+E12+E13+E14+E15+E16+E17+E18)</f>
        <v>3262228.11</v>
      </c>
      <c r="F19" s="150">
        <f>SUM(E19+E20)</f>
        <v>3263549.71</v>
      </c>
      <c r="G19" s="150">
        <f t="shared" si="0"/>
        <v>12854198.07</v>
      </c>
    </row>
    <row r="20" spans="1:7" ht="19.5" thickTop="1">
      <c r="A20" s="155"/>
      <c r="B20" s="156">
        <v>12639.18</v>
      </c>
      <c r="C20" s="149" t="s">
        <v>283</v>
      </c>
      <c r="D20" s="139" t="s">
        <v>43</v>
      </c>
      <c r="E20" s="146">
        <v>1321.6</v>
      </c>
      <c r="G20" s="150">
        <f t="shared" si="0"/>
        <v>13960.78</v>
      </c>
    </row>
    <row r="21" spans="1:7" ht="18.75">
      <c r="A21" s="155"/>
      <c r="B21" s="144">
        <v>237284</v>
      </c>
      <c r="C21" s="157" t="s">
        <v>7</v>
      </c>
      <c r="D21" s="139" t="s">
        <v>44</v>
      </c>
      <c r="E21" s="148">
        <f>SUM(10000+9400+3140+3244+71400)</f>
        <v>97184</v>
      </c>
      <c r="G21" s="150">
        <f t="shared" si="0"/>
        <v>334468</v>
      </c>
    </row>
    <row r="22" spans="1:7" ht="18.75">
      <c r="A22" s="155"/>
      <c r="B22" s="144">
        <v>507240</v>
      </c>
      <c r="C22" s="149" t="s">
        <v>6</v>
      </c>
      <c r="D22" s="139" t="s">
        <v>8</v>
      </c>
      <c r="E22" s="148">
        <v>1440</v>
      </c>
      <c r="F22" s="150"/>
      <c r="G22" s="150">
        <f t="shared" si="0"/>
        <v>508680</v>
      </c>
    </row>
    <row r="23" spans="1:7" ht="18.75">
      <c r="A23" s="155"/>
      <c r="B23" s="148">
        <v>0</v>
      </c>
      <c r="C23" s="158" t="s">
        <v>186</v>
      </c>
      <c r="D23" s="139" t="s">
        <v>187</v>
      </c>
      <c r="E23" s="148">
        <v>0</v>
      </c>
      <c r="G23" s="150">
        <f t="shared" si="0"/>
        <v>0</v>
      </c>
    </row>
    <row r="24" spans="1:7" ht="18.75">
      <c r="A24" s="155"/>
      <c r="B24" s="148">
        <v>0</v>
      </c>
      <c r="C24" s="155" t="s">
        <v>297</v>
      </c>
      <c r="D24" s="139" t="s">
        <v>288</v>
      </c>
      <c r="E24" s="148">
        <v>0</v>
      </c>
      <c r="G24" s="150">
        <f t="shared" si="0"/>
        <v>0</v>
      </c>
    </row>
    <row r="25" spans="1:7" ht="18.75">
      <c r="A25" s="155"/>
      <c r="B25" s="144">
        <v>2958474</v>
      </c>
      <c r="C25" s="149" t="s">
        <v>195</v>
      </c>
      <c r="D25" s="139" t="s">
        <v>194</v>
      </c>
      <c r="E25" s="148">
        <v>18900</v>
      </c>
      <c r="G25" s="150">
        <f t="shared" si="0"/>
        <v>2977374</v>
      </c>
    </row>
    <row r="26" spans="1:7" ht="18.75">
      <c r="A26" s="155"/>
      <c r="B26" s="148">
        <v>0</v>
      </c>
      <c r="C26" s="155" t="s">
        <v>289</v>
      </c>
      <c r="D26" s="159" t="s">
        <v>290</v>
      </c>
      <c r="E26" s="148">
        <v>0</v>
      </c>
      <c r="G26" s="150">
        <f t="shared" si="0"/>
        <v>0</v>
      </c>
    </row>
    <row r="27" spans="1:7" ht="18.75">
      <c r="A27" s="155"/>
      <c r="B27" s="144">
        <v>0</v>
      </c>
      <c r="C27" s="149" t="s">
        <v>295</v>
      </c>
      <c r="D27" s="139" t="s">
        <v>288</v>
      </c>
      <c r="E27" s="148">
        <v>0</v>
      </c>
      <c r="G27" s="150">
        <f t="shared" si="0"/>
        <v>0</v>
      </c>
    </row>
    <row r="28" spans="1:7" ht="18.75">
      <c r="A28" s="155"/>
      <c r="B28" s="144">
        <v>0</v>
      </c>
      <c r="C28" s="149" t="s">
        <v>299</v>
      </c>
      <c r="D28" s="139" t="s">
        <v>298</v>
      </c>
      <c r="E28" s="148">
        <v>0</v>
      </c>
      <c r="G28" s="150">
        <f t="shared" si="0"/>
        <v>0</v>
      </c>
    </row>
    <row r="29" spans="1:10" ht="18.75">
      <c r="A29" s="155"/>
      <c r="B29" s="144"/>
      <c r="C29" s="149"/>
      <c r="D29" s="139"/>
      <c r="E29" s="148"/>
      <c r="J29" s="150"/>
    </row>
    <row r="30" spans="1:10" ht="18.75">
      <c r="A30" s="155"/>
      <c r="B30" s="144"/>
      <c r="C30" s="149"/>
      <c r="D30" s="139"/>
      <c r="E30" s="148"/>
      <c r="J30" s="150"/>
    </row>
    <row r="31" spans="1:5" ht="18.75">
      <c r="A31" s="155"/>
      <c r="B31" s="144"/>
      <c r="C31" s="149"/>
      <c r="D31" s="139"/>
      <c r="E31" s="148"/>
    </row>
    <row r="32" spans="1:5" ht="18.75">
      <c r="A32" s="155"/>
      <c r="B32" s="144"/>
      <c r="C32" s="149"/>
      <c r="D32" s="139"/>
      <c r="E32" s="148"/>
    </row>
    <row r="33" spans="1:5" ht="18.75">
      <c r="A33" s="155"/>
      <c r="B33" s="144"/>
      <c r="C33" s="149"/>
      <c r="D33" s="139"/>
      <c r="E33" s="148"/>
    </row>
    <row r="34" spans="1:5" ht="18.75">
      <c r="A34" s="155"/>
      <c r="B34" s="144"/>
      <c r="C34" s="149"/>
      <c r="D34" s="139"/>
      <c r="E34" s="148"/>
    </row>
    <row r="35" spans="1:5" ht="18.75">
      <c r="A35" s="155"/>
      <c r="B35" s="144"/>
      <c r="C35" s="149"/>
      <c r="D35" s="139"/>
      <c r="E35" s="148"/>
    </row>
    <row r="36" spans="1:5" ht="18.75">
      <c r="A36" s="155"/>
      <c r="B36" s="144"/>
      <c r="C36" s="149"/>
      <c r="D36" s="139"/>
      <c r="E36" s="148"/>
    </row>
    <row r="37" spans="1:5" ht="18.75">
      <c r="A37" s="155"/>
      <c r="B37" s="151"/>
      <c r="C37" s="149"/>
      <c r="D37" s="139"/>
      <c r="E37" s="152"/>
    </row>
    <row r="38" spans="1:5" ht="18.75">
      <c r="A38" s="155"/>
      <c r="B38" s="125">
        <f>SUM(B20:B37)</f>
        <v>3715637.1799999997</v>
      </c>
      <c r="D38" s="139"/>
      <c r="E38" s="125">
        <f>SUM(E20:E37)</f>
        <v>118845.6</v>
      </c>
    </row>
    <row r="39" spans="1:5" ht="18.75">
      <c r="A39" s="155"/>
      <c r="B39" s="160">
        <f>SUM(B38+B19)</f>
        <v>13307607.14</v>
      </c>
      <c r="C39" s="138" t="s">
        <v>45</v>
      </c>
      <c r="D39" s="161"/>
      <c r="E39" s="162">
        <f>SUM(E38+E19)</f>
        <v>3381073.71</v>
      </c>
    </row>
    <row r="40" spans="1:5" ht="18.75">
      <c r="A40" s="155"/>
      <c r="B40" s="163"/>
      <c r="C40" s="164"/>
      <c r="D40" s="165"/>
      <c r="E40" s="163"/>
    </row>
    <row r="41" spans="1:5" ht="18.75">
      <c r="A41" s="155"/>
      <c r="B41" s="163"/>
      <c r="C41" s="164"/>
      <c r="D41" s="165"/>
      <c r="E41" s="163"/>
    </row>
    <row r="42" spans="1:5" ht="18.75">
      <c r="A42" s="155"/>
      <c r="B42" s="163"/>
      <c r="C42" s="164"/>
      <c r="D42" s="165"/>
      <c r="E42" s="163"/>
    </row>
    <row r="43" spans="1:5" ht="18.75">
      <c r="A43" s="155"/>
      <c r="B43" s="163"/>
      <c r="C43" s="164"/>
      <c r="D43" s="165"/>
      <c r="E43" s="163"/>
    </row>
    <row r="44" spans="1:5" ht="18.75">
      <c r="A44" s="155"/>
      <c r="B44" s="163"/>
      <c r="C44" s="164"/>
      <c r="D44" s="165"/>
      <c r="E44" s="163"/>
    </row>
    <row r="45" spans="1:5" ht="18.75">
      <c r="A45" s="246" t="s">
        <v>21</v>
      </c>
      <c r="B45" s="247"/>
      <c r="C45" s="136"/>
      <c r="D45" s="166"/>
      <c r="E45" s="167" t="s">
        <v>145</v>
      </c>
    </row>
    <row r="46" spans="1:5" ht="18.75">
      <c r="A46" s="137" t="s">
        <v>119</v>
      </c>
      <c r="B46" s="164" t="s">
        <v>22</v>
      </c>
      <c r="C46" s="138" t="s">
        <v>85</v>
      </c>
      <c r="D46" s="139" t="s">
        <v>23</v>
      </c>
      <c r="E46" s="140" t="s">
        <v>22</v>
      </c>
    </row>
    <row r="47" spans="1:5" ht="18.75">
      <c r="A47" s="168" t="s">
        <v>24</v>
      </c>
      <c r="B47" s="169" t="s">
        <v>24</v>
      </c>
      <c r="C47" s="170"/>
      <c r="D47" s="161" t="s">
        <v>25</v>
      </c>
      <c r="E47" s="168" t="s">
        <v>24</v>
      </c>
    </row>
    <row r="48" spans="1:5" ht="18.75">
      <c r="A48" s="144"/>
      <c r="B48" s="138"/>
      <c r="C48" s="147" t="s">
        <v>46</v>
      </c>
      <c r="D48" s="139"/>
      <c r="E48" s="140"/>
    </row>
    <row r="49" spans="1:9" ht="18.75">
      <c r="A49" s="144">
        <v>497310</v>
      </c>
      <c r="B49" s="148">
        <v>170864</v>
      </c>
      <c r="C49" s="158" t="s">
        <v>47</v>
      </c>
      <c r="D49" s="139" t="s">
        <v>117</v>
      </c>
      <c r="E49" s="148">
        <f>SUM(62304-1440)</f>
        <v>60864</v>
      </c>
      <c r="F49" s="150"/>
      <c r="G49" s="150"/>
      <c r="H49" s="150"/>
      <c r="I49" s="150"/>
    </row>
    <row r="50" spans="1:9" ht="18.75">
      <c r="A50" s="144">
        <v>213090</v>
      </c>
      <c r="B50" s="148">
        <v>32500</v>
      </c>
      <c r="C50" s="158" t="s">
        <v>47</v>
      </c>
      <c r="D50" s="139" t="s">
        <v>147</v>
      </c>
      <c r="E50" s="148">
        <v>4500</v>
      </c>
      <c r="F50" s="150"/>
      <c r="G50" s="150"/>
      <c r="I50" s="150"/>
    </row>
    <row r="51" spans="1:8" ht="18.75">
      <c r="A51" s="144">
        <v>3934800</v>
      </c>
      <c r="B51" s="148">
        <v>1149846.45</v>
      </c>
      <c r="C51" s="158" t="s">
        <v>48</v>
      </c>
      <c r="D51" s="139" t="s">
        <v>9</v>
      </c>
      <c r="E51" s="148">
        <v>295808.39</v>
      </c>
      <c r="F51" s="150"/>
      <c r="G51" s="150"/>
      <c r="H51" s="150"/>
    </row>
    <row r="52" spans="1:7" ht="18.75">
      <c r="A52" s="144">
        <v>180000</v>
      </c>
      <c r="B52" s="148">
        <v>60000</v>
      </c>
      <c r="C52" s="158" t="s">
        <v>49</v>
      </c>
      <c r="D52" s="139" t="s">
        <v>10</v>
      </c>
      <c r="E52" s="148">
        <v>15000</v>
      </c>
      <c r="F52" s="150"/>
      <c r="G52" s="150"/>
    </row>
    <row r="53" spans="1:8" ht="18.75">
      <c r="A53" s="144">
        <v>724900</v>
      </c>
      <c r="B53" s="148">
        <v>132000</v>
      </c>
      <c r="C53" s="158" t="s">
        <v>175</v>
      </c>
      <c r="D53" s="139" t="s">
        <v>176</v>
      </c>
      <c r="E53" s="148">
        <v>33000</v>
      </c>
      <c r="F53" s="150"/>
      <c r="G53" s="150"/>
      <c r="H53" s="150"/>
    </row>
    <row r="54" spans="1:8" ht="18.75">
      <c r="A54" s="144">
        <v>2051800</v>
      </c>
      <c r="B54" s="148">
        <v>780950.55</v>
      </c>
      <c r="C54" s="158" t="s">
        <v>182</v>
      </c>
      <c r="D54" s="139" t="s">
        <v>183</v>
      </c>
      <c r="E54" s="148">
        <f>SUM(183479+71400-750)</f>
        <v>254129</v>
      </c>
      <c r="G54" s="150"/>
      <c r="H54" s="150"/>
    </row>
    <row r="55" spans="1:8" ht="18.75">
      <c r="A55" s="144">
        <v>1200000</v>
      </c>
      <c r="B55" s="148">
        <v>0</v>
      </c>
      <c r="C55" s="158" t="s">
        <v>182</v>
      </c>
      <c r="D55" s="139" t="s">
        <v>337</v>
      </c>
      <c r="E55" s="148">
        <v>0</v>
      </c>
      <c r="G55" s="150"/>
      <c r="H55" s="150"/>
    </row>
    <row r="56" spans="1:8" ht="18.75">
      <c r="A56" s="144">
        <v>1747340</v>
      </c>
      <c r="B56" s="148">
        <v>550674.99</v>
      </c>
      <c r="C56" s="158" t="s">
        <v>50</v>
      </c>
      <c r="D56" s="139" t="s">
        <v>11</v>
      </c>
      <c r="E56" s="148">
        <f>SUM(101493.99+9400+3140+3244-616)</f>
        <v>116661.99</v>
      </c>
      <c r="G56" s="150"/>
      <c r="H56" s="150"/>
    </row>
    <row r="57" spans="1:7" ht="18.75">
      <c r="A57" s="144">
        <v>2076980</v>
      </c>
      <c r="B57" s="148">
        <v>155704</v>
      </c>
      <c r="C57" s="158" t="s">
        <v>50</v>
      </c>
      <c r="D57" s="139" t="s">
        <v>177</v>
      </c>
      <c r="E57" s="148">
        <f>SUM(8400+10000)</f>
        <v>18400</v>
      </c>
      <c r="G57" s="150"/>
    </row>
    <row r="58" spans="1:7" ht="18.75">
      <c r="A58" s="144">
        <v>635000</v>
      </c>
      <c r="B58" s="148">
        <v>15600</v>
      </c>
      <c r="C58" s="158" t="s">
        <v>51</v>
      </c>
      <c r="D58" s="139" t="s">
        <v>52</v>
      </c>
      <c r="E58" s="148">
        <f>SUM(7900)</f>
        <v>7900</v>
      </c>
      <c r="G58" s="150"/>
    </row>
    <row r="59" spans="1:7" ht="18.75">
      <c r="A59" s="144">
        <v>1319220</v>
      </c>
      <c r="B59" s="148">
        <v>186310.4</v>
      </c>
      <c r="C59" s="158" t="s">
        <v>51</v>
      </c>
      <c r="D59" s="139" t="s">
        <v>184</v>
      </c>
      <c r="E59" s="148">
        <v>186310.4</v>
      </c>
      <c r="F59" s="150"/>
      <c r="G59" s="150"/>
    </row>
    <row r="60" spans="1:7" ht="18.75">
      <c r="A60" s="144">
        <v>229800</v>
      </c>
      <c r="B60" s="148">
        <v>70670.74</v>
      </c>
      <c r="C60" s="158" t="s">
        <v>53</v>
      </c>
      <c r="D60" s="139" t="s">
        <v>12</v>
      </c>
      <c r="E60" s="148">
        <v>18337.75</v>
      </c>
      <c r="G60" s="150"/>
    </row>
    <row r="61" spans="1:7" ht="18.75">
      <c r="A61" s="144">
        <v>165000</v>
      </c>
      <c r="B61" s="148">
        <v>50000</v>
      </c>
      <c r="C61" s="158" t="s">
        <v>41</v>
      </c>
      <c r="D61" s="139" t="s">
        <v>178</v>
      </c>
      <c r="E61" s="148">
        <v>20000</v>
      </c>
      <c r="F61" s="150"/>
      <c r="G61" s="150"/>
    </row>
    <row r="62" spans="1:7" ht="18.75">
      <c r="A62" s="144">
        <v>2044000</v>
      </c>
      <c r="B62" s="148">
        <v>893100</v>
      </c>
      <c r="C62" s="158" t="s">
        <v>41</v>
      </c>
      <c r="D62" s="139" t="s">
        <v>179</v>
      </c>
      <c r="E62" s="148">
        <v>0</v>
      </c>
      <c r="G62" s="150"/>
    </row>
    <row r="63" spans="1:7" ht="18.75">
      <c r="A63" s="144">
        <v>6000</v>
      </c>
      <c r="B63" s="148">
        <v>0</v>
      </c>
      <c r="C63" s="158" t="s">
        <v>54</v>
      </c>
      <c r="D63" s="139" t="s">
        <v>13</v>
      </c>
      <c r="E63" s="148">
        <v>0</v>
      </c>
      <c r="G63" s="150"/>
    </row>
    <row r="64" spans="1:7" ht="18.75">
      <c r="A64" s="144">
        <v>102700</v>
      </c>
      <c r="B64" s="148">
        <v>0</v>
      </c>
      <c r="C64" s="158" t="s">
        <v>54</v>
      </c>
      <c r="D64" s="139" t="s">
        <v>180</v>
      </c>
      <c r="E64" s="148">
        <v>0</v>
      </c>
      <c r="F64" s="150"/>
      <c r="G64" s="150"/>
    </row>
    <row r="65" spans="1:7" ht="18.75">
      <c r="A65" s="144">
        <v>0</v>
      </c>
      <c r="B65" s="148">
        <v>0</v>
      </c>
      <c r="C65" s="158" t="s">
        <v>55</v>
      </c>
      <c r="D65" s="139" t="s">
        <v>56</v>
      </c>
      <c r="E65" s="148">
        <v>0</v>
      </c>
      <c r="G65" s="150"/>
    </row>
    <row r="66" spans="1:7" ht="18.75">
      <c r="A66" s="144">
        <v>660000</v>
      </c>
      <c r="B66" s="148">
        <v>0</v>
      </c>
      <c r="C66" s="158" t="s">
        <v>55</v>
      </c>
      <c r="D66" s="139" t="s">
        <v>148</v>
      </c>
      <c r="E66" s="148">
        <v>0</v>
      </c>
      <c r="F66" s="150"/>
      <c r="G66" s="150"/>
    </row>
    <row r="67" spans="1:7" ht="18.75">
      <c r="A67" s="144">
        <v>12000</v>
      </c>
      <c r="B67" s="148">
        <v>0</v>
      </c>
      <c r="C67" s="158" t="s">
        <v>17</v>
      </c>
      <c r="D67" s="139" t="s">
        <v>314</v>
      </c>
      <c r="E67" s="148">
        <v>0</v>
      </c>
      <c r="G67" s="150"/>
    </row>
    <row r="68" spans="1:7" ht="18.75">
      <c r="A68" s="144">
        <v>0</v>
      </c>
      <c r="B68" s="186" t="s">
        <v>313</v>
      </c>
      <c r="C68" s="158" t="s">
        <v>17</v>
      </c>
      <c r="D68" s="139" t="s">
        <v>315</v>
      </c>
      <c r="E68" s="148">
        <v>0</v>
      </c>
      <c r="G68" s="150"/>
    </row>
    <row r="69" spans="1:8" ht="19.5" thickBot="1">
      <c r="A69" s="153">
        <f>SUM(A49:A68)</f>
        <v>17799940</v>
      </c>
      <c r="B69" s="154">
        <f>SUM(B49:B68)</f>
        <v>4248221.130000001</v>
      </c>
      <c r="D69" s="139"/>
      <c r="E69" s="154">
        <f>SUM(E49:E68)</f>
        <v>1030911.53</v>
      </c>
      <c r="F69" s="150"/>
      <c r="G69" s="150"/>
      <c r="H69" s="150"/>
    </row>
    <row r="70" spans="1:7" ht="19.5" thickTop="1">
      <c r="A70" s="191"/>
      <c r="B70" s="146">
        <v>500008.22</v>
      </c>
      <c r="C70" s="158" t="s">
        <v>57</v>
      </c>
      <c r="D70" s="139" t="s">
        <v>58</v>
      </c>
      <c r="E70" s="146">
        <v>0</v>
      </c>
      <c r="G70" s="150"/>
    </row>
    <row r="71" spans="1:7" ht="18.75">
      <c r="A71" s="172"/>
      <c r="B71" s="148">
        <v>0</v>
      </c>
      <c r="C71" s="158" t="s">
        <v>279</v>
      </c>
      <c r="D71" s="139" t="s">
        <v>280</v>
      </c>
      <c r="E71" s="148">
        <v>0</v>
      </c>
      <c r="F71" s="150"/>
      <c r="G71" s="150"/>
    </row>
    <row r="72" spans="1:7" ht="18.75">
      <c r="A72" s="172"/>
      <c r="B72" s="148">
        <v>0</v>
      </c>
      <c r="C72" s="158" t="s">
        <v>284</v>
      </c>
      <c r="D72" s="139" t="s">
        <v>281</v>
      </c>
      <c r="E72" s="148">
        <v>0</v>
      </c>
      <c r="F72" s="150"/>
      <c r="G72" s="150"/>
    </row>
    <row r="73" spans="1:7" ht="18.75">
      <c r="A73" s="155"/>
      <c r="B73" s="148">
        <v>698005.97</v>
      </c>
      <c r="C73" s="158" t="s">
        <v>173</v>
      </c>
      <c r="D73" s="139" t="s">
        <v>189</v>
      </c>
      <c r="E73" s="148">
        <v>0</v>
      </c>
      <c r="G73" s="150"/>
    </row>
    <row r="74" spans="1:10" ht="18.75">
      <c r="A74" s="155"/>
      <c r="B74" s="148">
        <v>133340.99</v>
      </c>
      <c r="C74" s="158" t="s">
        <v>283</v>
      </c>
      <c r="D74" s="139" t="s">
        <v>43</v>
      </c>
      <c r="E74" s="148">
        <v>6126.01</v>
      </c>
      <c r="G74" s="150"/>
      <c r="J74" s="150"/>
    </row>
    <row r="75" spans="1:7" ht="18.75">
      <c r="A75" s="155"/>
      <c r="B75" s="148">
        <v>270400</v>
      </c>
      <c r="C75" s="155" t="s">
        <v>7</v>
      </c>
      <c r="D75" s="139" t="s">
        <v>44</v>
      </c>
      <c r="E75" s="171">
        <v>19400</v>
      </c>
      <c r="G75" s="150"/>
    </row>
    <row r="76" spans="1:7" ht="18.75">
      <c r="A76" s="172"/>
      <c r="B76" s="148">
        <v>0</v>
      </c>
      <c r="C76" s="155" t="s">
        <v>186</v>
      </c>
      <c r="D76" s="139" t="s">
        <v>187</v>
      </c>
      <c r="E76" s="171">
        <v>0</v>
      </c>
      <c r="G76" s="150"/>
    </row>
    <row r="77" spans="1:7" ht="18.75">
      <c r="A77" s="155"/>
      <c r="B77" s="148">
        <v>507240</v>
      </c>
      <c r="C77" s="155" t="s">
        <v>285</v>
      </c>
      <c r="D77" s="139" t="s">
        <v>8</v>
      </c>
      <c r="E77" s="171">
        <v>1440</v>
      </c>
      <c r="G77" s="150"/>
    </row>
    <row r="78" spans="1:7" ht="18.75">
      <c r="A78" s="155"/>
      <c r="B78" s="148">
        <v>1944780</v>
      </c>
      <c r="C78" s="149" t="s">
        <v>302</v>
      </c>
      <c r="D78" s="139" t="s">
        <v>301</v>
      </c>
      <c r="E78" s="171">
        <f>SUM(483800+1440+1440)</f>
        <v>486680</v>
      </c>
      <c r="G78" s="150"/>
    </row>
    <row r="79" spans="1:7" ht="18.75">
      <c r="A79" s="155"/>
      <c r="B79" s="148">
        <v>0</v>
      </c>
      <c r="C79" s="149" t="s">
        <v>303</v>
      </c>
      <c r="D79" s="139" t="s">
        <v>304</v>
      </c>
      <c r="E79" s="171">
        <v>0</v>
      </c>
      <c r="G79" s="150"/>
    </row>
    <row r="80" spans="1:7" ht="18.75">
      <c r="A80" s="155"/>
      <c r="B80" s="148">
        <v>0</v>
      </c>
      <c r="C80" s="155" t="s">
        <v>289</v>
      </c>
      <c r="D80" s="139" t="s">
        <v>290</v>
      </c>
      <c r="E80" s="171">
        <v>0</v>
      </c>
      <c r="G80" s="150"/>
    </row>
    <row r="81" spans="1:7" ht="18.75">
      <c r="A81" s="155"/>
      <c r="B81" s="148">
        <v>0</v>
      </c>
      <c r="C81" s="149" t="s">
        <v>299</v>
      </c>
      <c r="D81" s="139" t="s">
        <v>298</v>
      </c>
      <c r="E81" s="148"/>
      <c r="G81" s="150"/>
    </row>
    <row r="82" spans="1:10" ht="18.75">
      <c r="A82" s="155"/>
      <c r="B82" s="148">
        <v>0</v>
      </c>
      <c r="C82" s="155" t="s">
        <v>295</v>
      </c>
      <c r="D82" s="139" t="s">
        <v>288</v>
      </c>
      <c r="E82" s="171">
        <v>0</v>
      </c>
      <c r="G82" s="150"/>
      <c r="J82" s="150"/>
    </row>
    <row r="83" spans="1:11" ht="18.75">
      <c r="A83" s="155"/>
      <c r="B83" s="125">
        <f>SUM(B70:B82)</f>
        <v>4053775.1799999997</v>
      </c>
      <c r="C83" s="155"/>
      <c r="D83" s="139"/>
      <c r="E83" s="125">
        <f>SUM(E70+E71+E72+E73+E74+E75+E76+E77+E78+E79+E80+E81+E82)</f>
        <v>513646.01</v>
      </c>
      <c r="H83" s="150"/>
      <c r="J83" s="150"/>
      <c r="K83" s="150"/>
    </row>
    <row r="84" spans="1:11" ht="18.75">
      <c r="A84" s="155"/>
      <c r="B84" s="125">
        <f>SUM(B83+B69)</f>
        <v>8301996.3100000005</v>
      </c>
      <c r="C84" s="164" t="s">
        <v>59</v>
      </c>
      <c r="D84" s="139"/>
      <c r="E84" s="174">
        <f>SUM(E69+E83)</f>
        <v>1544557.54</v>
      </c>
      <c r="J84" s="150"/>
      <c r="K84" s="150"/>
    </row>
    <row r="85" spans="1:11" ht="18.75">
      <c r="A85" s="155"/>
      <c r="B85" s="148"/>
      <c r="C85" s="164" t="s">
        <v>60</v>
      </c>
      <c r="D85" s="139"/>
      <c r="E85" s="171"/>
      <c r="J85" s="150"/>
      <c r="K85" s="150"/>
    </row>
    <row r="86" spans="1:5" ht="18.75">
      <c r="A86" s="155"/>
      <c r="B86" s="148">
        <f>SUM(B39-B84)</f>
        <v>5005610.83</v>
      </c>
      <c r="C86" s="164" t="s">
        <v>61</v>
      </c>
      <c r="D86" s="139"/>
      <c r="E86" s="171">
        <f>SUM(E39-E84)</f>
        <v>1836516.17</v>
      </c>
    </row>
    <row r="87" spans="1:10" ht="18.75">
      <c r="A87" s="155"/>
      <c r="B87" s="148"/>
      <c r="C87" s="164" t="s">
        <v>62</v>
      </c>
      <c r="D87" s="139"/>
      <c r="E87" s="173"/>
      <c r="J87" s="150"/>
    </row>
    <row r="88" spans="2:11" ht="19.5" thickBot="1">
      <c r="B88" s="154">
        <f>SUM(B9+B86)</f>
        <v>26762231.18</v>
      </c>
      <c r="C88" s="164" t="s">
        <v>63</v>
      </c>
      <c r="D88" s="139"/>
      <c r="E88" s="175">
        <f>SUM(E9+E86)</f>
        <v>26762231.18</v>
      </c>
      <c r="F88" s="150"/>
      <c r="G88" s="150"/>
      <c r="J88" s="150"/>
      <c r="K88" s="131"/>
    </row>
    <row r="89" spans="2:11" ht="19.5" thickTop="1">
      <c r="B89" s="176"/>
      <c r="C89" s="164"/>
      <c r="E89" s="176"/>
      <c r="F89" s="220"/>
      <c r="G89" s="150"/>
      <c r="K89" s="131"/>
    </row>
    <row r="90" spans="2:11" ht="18.75">
      <c r="B90" s="176"/>
      <c r="C90" s="164"/>
      <c r="E90" s="176"/>
      <c r="F90" s="150"/>
      <c r="G90" s="150"/>
      <c r="K90" s="150"/>
    </row>
    <row r="91" spans="2:11" ht="18.75">
      <c r="B91" s="176"/>
      <c r="C91" s="164"/>
      <c r="E91" s="176"/>
      <c r="G91" s="150"/>
      <c r="K91" s="178"/>
    </row>
    <row r="92" spans="1:6" ht="18.75">
      <c r="A92" s="111"/>
      <c r="B92" s="111"/>
      <c r="C92" s="111"/>
      <c r="D92" s="111"/>
      <c r="E92" s="119"/>
      <c r="F92" s="150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SheetLayoutView="100" zoomScalePageLayoutView="0" workbookViewId="0" topLeftCell="A1">
      <selection activeCell="U97" sqref="U97"/>
    </sheetView>
  </sheetViews>
  <sheetFormatPr defaultColWidth="9.140625" defaultRowHeight="12.75"/>
  <cols>
    <col min="1" max="1" width="8.7109375" style="14" customWidth="1"/>
    <col min="2" max="2" width="7.421875" style="96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6" customWidth="1"/>
    <col min="10" max="10" width="6.7109375" style="13" customWidth="1"/>
    <col min="11" max="12" width="6.00390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6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25" customWidth="1"/>
    <col min="21" max="21" width="9.140625" style="59" customWidth="1"/>
    <col min="22" max="22" width="9.57421875" style="59" customWidth="1"/>
    <col min="23" max="16384" width="9.140625" style="13" customWidth="1"/>
  </cols>
  <sheetData>
    <row r="1" spans="1:20" ht="16.5">
      <c r="A1" s="252" t="s">
        <v>203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ht="16.5">
      <c r="A2" s="252" t="s">
        <v>282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ht="16.5">
      <c r="A3" s="253" t="s">
        <v>370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ht="16.5">
      <c r="A4" s="89" t="s">
        <v>204</v>
      </c>
      <c r="B4" s="250" t="s">
        <v>205</v>
      </c>
      <c r="C4" s="251"/>
      <c r="D4" s="250" t="s">
        <v>206</v>
      </c>
      <c r="E4" s="251"/>
      <c r="F4" s="250" t="s">
        <v>207</v>
      </c>
      <c r="G4" s="251"/>
      <c r="H4" s="90" t="s">
        <v>208</v>
      </c>
      <c r="I4" s="93" t="s">
        <v>209</v>
      </c>
      <c r="J4" s="250" t="s">
        <v>210</v>
      </c>
      <c r="K4" s="251"/>
      <c r="L4" s="250" t="s">
        <v>211</v>
      </c>
      <c r="M4" s="251"/>
      <c r="N4" s="250" t="s">
        <v>212</v>
      </c>
      <c r="O4" s="251"/>
      <c r="P4" s="91"/>
      <c r="Q4" s="250" t="s">
        <v>213</v>
      </c>
      <c r="R4" s="251"/>
      <c r="S4" s="11" t="s">
        <v>214</v>
      </c>
      <c r="T4" s="248" t="s">
        <v>215</v>
      </c>
    </row>
    <row r="5" spans="1:20" ht="16.5">
      <c r="A5" s="92" t="s">
        <v>83</v>
      </c>
      <c r="B5" s="93" t="s">
        <v>216</v>
      </c>
      <c r="C5" s="11" t="s">
        <v>217</v>
      </c>
      <c r="D5" s="11" t="s">
        <v>218</v>
      </c>
      <c r="E5" s="11" t="s">
        <v>219</v>
      </c>
      <c r="F5" s="11" t="s">
        <v>220</v>
      </c>
      <c r="G5" s="11" t="s">
        <v>221</v>
      </c>
      <c r="H5" s="11" t="s">
        <v>222</v>
      </c>
      <c r="I5" s="93" t="s">
        <v>223</v>
      </c>
      <c r="J5" s="11" t="s">
        <v>224</v>
      </c>
      <c r="K5" s="11" t="s">
        <v>225</v>
      </c>
      <c r="L5" s="11" t="s">
        <v>333</v>
      </c>
      <c r="M5" s="11" t="s">
        <v>226</v>
      </c>
      <c r="N5" s="11" t="s">
        <v>227</v>
      </c>
      <c r="O5" s="11" t="s">
        <v>228</v>
      </c>
      <c r="P5" s="93" t="s">
        <v>229</v>
      </c>
      <c r="Q5" s="11" t="s">
        <v>230</v>
      </c>
      <c r="R5" s="11" t="s">
        <v>231</v>
      </c>
      <c r="S5" s="11" t="s">
        <v>232</v>
      </c>
      <c r="T5" s="249"/>
    </row>
    <row r="6" spans="1:22" s="96" customFormat="1" ht="14.25">
      <c r="A6" s="94" t="s">
        <v>233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>
        <v>0</v>
      </c>
      <c r="T6" s="222">
        <f>SUM(S6)</f>
        <v>0</v>
      </c>
      <c r="U6" s="105"/>
      <c r="V6" s="105"/>
    </row>
    <row r="7" spans="1:22" s="96" customFormat="1" ht="14.25">
      <c r="A7" s="93" t="s">
        <v>234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/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f>SUM(2640+4500+59664-1440)</f>
        <v>65364</v>
      </c>
      <c r="T7" s="222">
        <f>SUM(B7:S7)</f>
        <v>65364</v>
      </c>
      <c r="U7" s="105"/>
      <c r="V7" s="105"/>
    </row>
    <row r="8" spans="1:22" s="96" customFormat="1" ht="14.25">
      <c r="A8" s="93" t="s">
        <v>296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/>
      <c r="I8" s="95">
        <v>0</v>
      </c>
      <c r="J8" s="95">
        <v>0</v>
      </c>
      <c r="K8" s="95">
        <v>0</v>
      </c>
      <c r="L8" s="95"/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/>
      <c r="T8" s="222">
        <f>SUM(B8:S8)</f>
        <v>0</v>
      </c>
      <c r="U8" s="105"/>
      <c r="V8" s="105"/>
    </row>
    <row r="9" spans="1:22" s="96" customFormat="1" ht="14.25">
      <c r="A9" s="93" t="s">
        <v>235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/>
      <c r="I9" s="95">
        <v>0</v>
      </c>
      <c r="J9" s="95">
        <v>0</v>
      </c>
      <c r="K9" s="95">
        <v>0</v>
      </c>
      <c r="L9" s="95"/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222">
        <f>SUM(B9:S9)</f>
        <v>0</v>
      </c>
      <c r="U9" s="105"/>
      <c r="V9" s="105"/>
    </row>
    <row r="10" spans="1:22" s="96" customFormat="1" ht="14.25">
      <c r="A10" s="97" t="s">
        <v>236</v>
      </c>
      <c r="B10" s="95">
        <f aca="true" t="shared" si="0" ref="B10:H10">SUM(B7:B9)</f>
        <v>0</v>
      </c>
      <c r="C10" s="95">
        <f t="shared" si="0"/>
        <v>0</v>
      </c>
      <c r="D10" s="95">
        <f t="shared" si="0"/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v>0</v>
      </c>
      <c r="J10" s="95">
        <f aca="true" t="shared" si="1" ref="J10:R10">SUM(J7:J9)</f>
        <v>0</v>
      </c>
      <c r="K10" s="95">
        <f t="shared" si="1"/>
        <v>0</v>
      </c>
      <c r="L10" s="95"/>
      <c r="M10" s="95">
        <f t="shared" si="1"/>
        <v>0</v>
      </c>
      <c r="N10" s="95">
        <f t="shared" si="1"/>
        <v>0</v>
      </c>
      <c r="O10" s="95">
        <f t="shared" si="1"/>
        <v>0</v>
      </c>
      <c r="P10" s="95">
        <f t="shared" si="1"/>
        <v>0</v>
      </c>
      <c r="Q10" s="95">
        <f t="shared" si="1"/>
        <v>0</v>
      </c>
      <c r="R10" s="95">
        <f t="shared" si="1"/>
        <v>0</v>
      </c>
      <c r="S10" s="95">
        <f>SUM(S6:S9)</f>
        <v>65364</v>
      </c>
      <c r="T10" s="222">
        <f>SUM(B10:S10)</f>
        <v>65364</v>
      </c>
      <c r="U10" s="105"/>
      <c r="V10" s="105"/>
    </row>
    <row r="11" spans="1:22" s="96" customFormat="1" ht="14.25">
      <c r="A11" s="97" t="s">
        <v>237</v>
      </c>
      <c r="B11" s="95">
        <v>0</v>
      </c>
      <c r="C11" s="95">
        <v>0</v>
      </c>
      <c r="D11" s="95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/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f>SUM(106340+21640+10020+65364)</f>
        <v>203364</v>
      </c>
      <c r="T11" s="222">
        <f>SUM(B11:S11)</f>
        <v>203364</v>
      </c>
      <c r="U11" s="105"/>
      <c r="V11" s="105"/>
    </row>
    <row r="12" spans="1:22" s="96" customFormat="1" ht="14.25">
      <c r="A12" s="94" t="s">
        <v>238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222"/>
      <c r="U12" s="105"/>
      <c r="V12" s="105"/>
    </row>
    <row r="13" spans="1:22" s="96" customFormat="1" ht="14.25">
      <c r="A13" s="93">
        <v>101</v>
      </c>
      <c r="B13" s="95">
        <f>SUM(42840+7200)</f>
        <v>50040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/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222">
        <f>SUM(B13:S13)</f>
        <v>50040</v>
      </c>
      <c r="U13" s="105"/>
      <c r="V13" s="105"/>
    </row>
    <row r="14" spans="1:22" s="96" customFormat="1" ht="14.25">
      <c r="A14" s="93">
        <v>102</v>
      </c>
      <c r="B14" s="95">
        <f>SUM(75986.13)</f>
        <v>75986.13</v>
      </c>
      <c r="C14" s="95">
        <f>SUM(53010)</f>
        <v>53010</v>
      </c>
      <c r="D14" s="95">
        <v>0</v>
      </c>
      <c r="E14" s="95">
        <v>0</v>
      </c>
      <c r="F14" s="95">
        <v>14300</v>
      </c>
      <c r="G14" s="95">
        <v>0</v>
      </c>
      <c r="H14" s="95">
        <v>0</v>
      </c>
      <c r="I14" s="95">
        <v>0</v>
      </c>
      <c r="J14" s="95">
        <v>31200</v>
      </c>
      <c r="K14" s="95">
        <v>0</v>
      </c>
      <c r="L14" s="95">
        <v>11920</v>
      </c>
      <c r="M14" s="95">
        <v>0</v>
      </c>
      <c r="N14" s="95">
        <v>0</v>
      </c>
      <c r="O14" s="95">
        <v>0</v>
      </c>
      <c r="P14" s="95">
        <v>0</v>
      </c>
      <c r="Q14" s="95">
        <v>14300</v>
      </c>
      <c r="R14" s="95">
        <v>0</v>
      </c>
      <c r="S14" s="95">
        <v>0</v>
      </c>
      <c r="T14" s="222">
        <f>SUM(B14:S14)</f>
        <v>200716.13</v>
      </c>
      <c r="U14" s="105"/>
      <c r="V14" s="105"/>
    </row>
    <row r="15" spans="1:22" s="96" customFormat="1" ht="14.25">
      <c r="A15" s="93">
        <v>103</v>
      </c>
      <c r="B15" s="95">
        <f>SUM(4751.94+11320.32+3510)</f>
        <v>19582.26</v>
      </c>
      <c r="C15" s="95">
        <f>SUM(1480+10070)</f>
        <v>11550</v>
      </c>
      <c r="D15" s="95">
        <v>0</v>
      </c>
      <c r="E15" s="95">
        <v>0</v>
      </c>
      <c r="F15" s="95">
        <v>1470</v>
      </c>
      <c r="G15" s="95">
        <v>0</v>
      </c>
      <c r="H15" s="95">
        <v>0</v>
      </c>
      <c r="I15" s="95">
        <v>0</v>
      </c>
      <c r="J15" s="95">
        <f>SUM(160+1500)</f>
        <v>1660</v>
      </c>
      <c r="K15" s="95">
        <v>0</v>
      </c>
      <c r="L15" s="95">
        <f>SUM(420+2660)</f>
        <v>3080</v>
      </c>
      <c r="M15" s="95">
        <v>0</v>
      </c>
      <c r="N15" s="95">
        <v>0</v>
      </c>
      <c r="O15" s="95">
        <v>0</v>
      </c>
      <c r="P15" s="95">
        <v>0</v>
      </c>
      <c r="Q15" s="95">
        <v>700</v>
      </c>
      <c r="R15" s="95">
        <v>0</v>
      </c>
      <c r="S15" s="95">
        <v>0</v>
      </c>
      <c r="T15" s="222">
        <f>SUM(B15:S15)</f>
        <v>38042.259999999995</v>
      </c>
      <c r="U15" s="105"/>
      <c r="V15" s="105"/>
    </row>
    <row r="16" spans="1:22" s="96" customFormat="1" ht="14.25">
      <c r="A16" s="93">
        <v>105</v>
      </c>
      <c r="B16" s="95">
        <f>SUM(3500+3510)</f>
        <v>7010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/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222">
        <v>0</v>
      </c>
      <c r="U16" s="105"/>
      <c r="V16" s="105"/>
    </row>
    <row r="17" spans="1:22" s="96" customFormat="1" ht="14.25">
      <c r="A17" s="93">
        <v>106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222">
        <v>0</v>
      </c>
      <c r="U17" s="105"/>
      <c r="V17" s="105"/>
    </row>
    <row r="18" spans="1:22" s="96" customFormat="1" ht="14.25">
      <c r="A18" s="97" t="s">
        <v>236</v>
      </c>
      <c r="B18" s="95">
        <f aca="true" t="shared" si="2" ref="B18:S18">SUM(B13:B17)</f>
        <v>152618.39</v>
      </c>
      <c r="C18" s="95">
        <f t="shared" si="2"/>
        <v>64560</v>
      </c>
      <c r="D18" s="95">
        <f t="shared" si="2"/>
        <v>0</v>
      </c>
      <c r="E18" s="95">
        <f t="shared" si="2"/>
        <v>0</v>
      </c>
      <c r="F18" s="95">
        <f t="shared" si="2"/>
        <v>15770</v>
      </c>
      <c r="G18" s="95">
        <f t="shared" si="2"/>
        <v>0</v>
      </c>
      <c r="H18" s="95">
        <f t="shared" si="2"/>
        <v>0</v>
      </c>
      <c r="I18" s="95">
        <f t="shared" si="2"/>
        <v>0</v>
      </c>
      <c r="J18" s="95">
        <f>SUM(J13:J17)</f>
        <v>32860</v>
      </c>
      <c r="K18" s="95">
        <f t="shared" si="2"/>
        <v>0</v>
      </c>
      <c r="L18" s="95">
        <f>SUM(L13:L17)</f>
        <v>15000</v>
      </c>
      <c r="M18" s="95">
        <f t="shared" si="2"/>
        <v>0</v>
      </c>
      <c r="N18" s="95">
        <f t="shared" si="2"/>
        <v>0</v>
      </c>
      <c r="O18" s="95">
        <f t="shared" si="2"/>
        <v>0</v>
      </c>
      <c r="P18" s="95">
        <f t="shared" si="2"/>
        <v>0</v>
      </c>
      <c r="Q18" s="95">
        <f>SUM(Q13:Q17)</f>
        <v>15000</v>
      </c>
      <c r="R18" s="95">
        <f t="shared" si="2"/>
        <v>0</v>
      </c>
      <c r="S18" s="95">
        <f t="shared" si="2"/>
        <v>0</v>
      </c>
      <c r="T18" s="222">
        <f>SUM(B18:S18)</f>
        <v>295808.39</v>
      </c>
      <c r="U18" s="105"/>
      <c r="V18" s="105"/>
    </row>
    <row r="19" spans="1:22" s="96" customFormat="1" ht="14.25">
      <c r="A19" s="97" t="s">
        <v>237</v>
      </c>
      <c r="B19" s="95">
        <f>SUM(146328.06+139070+139070+152618.39)</f>
        <v>577086.45</v>
      </c>
      <c r="C19" s="95">
        <f>SUM(64560+64560+64560+64560)</f>
        <v>258240</v>
      </c>
      <c r="D19" s="95">
        <v>0</v>
      </c>
      <c r="E19" s="95">
        <v>0</v>
      </c>
      <c r="F19" s="95">
        <f>SUM(15770+15770+15770+15770)</f>
        <v>63080</v>
      </c>
      <c r="G19" s="95">
        <v>0</v>
      </c>
      <c r="H19" s="95">
        <v>0</v>
      </c>
      <c r="I19" s="95">
        <v>0</v>
      </c>
      <c r="J19" s="95">
        <f>SUM(32860+32860+32860+32860)</f>
        <v>131440</v>
      </c>
      <c r="K19" s="95">
        <v>0</v>
      </c>
      <c r="L19" s="95">
        <f>SUM(15000+15000+15000+15000)</f>
        <v>60000</v>
      </c>
      <c r="M19" s="95">
        <v>0</v>
      </c>
      <c r="N19" s="95">
        <v>0</v>
      </c>
      <c r="O19" s="95">
        <v>0</v>
      </c>
      <c r="P19" s="95">
        <v>0</v>
      </c>
      <c r="Q19" s="95">
        <f>SUM(15000+15000+15000+15000)</f>
        <v>60000</v>
      </c>
      <c r="R19" s="95">
        <v>0</v>
      </c>
      <c r="S19" s="95">
        <v>0</v>
      </c>
      <c r="T19" s="222">
        <f>SUM(B19:S19)</f>
        <v>1149846.45</v>
      </c>
      <c r="U19" s="105"/>
      <c r="V19" s="105"/>
    </row>
    <row r="20" spans="1:22" s="96" customFormat="1" ht="14.25">
      <c r="A20" s="94" t="s">
        <v>239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222"/>
      <c r="U20" s="105"/>
      <c r="V20" s="105"/>
    </row>
    <row r="21" spans="1:22" s="96" customFormat="1" ht="14.25">
      <c r="A21" s="93" t="s">
        <v>240</v>
      </c>
      <c r="B21" s="95">
        <v>0</v>
      </c>
      <c r="C21" s="95">
        <v>11180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/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222">
        <f>SUM(B21:S21)</f>
        <v>11180</v>
      </c>
      <c r="U21" s="105"/>
      <c r="V21" s="105"/>
    </row>
    <row r="22" spans="1:22" s="96" customFormat="1" ht="14.25">
      <c r="A22" s="93">
        <v>122</v>
      </c>
      <c r="B22" s="95">
        <v>0</v>
      </c>
      <c r="C22" s="95">
        <v>3820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/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222">
        <f>SUM(B22:S22)</f>
        <v>3820</v>
      </c>
      <c r="U22" s="105"/>
      <c r="V22" s="105"/>
    </row>
    <row r="23" spans="1:22" s="96" customFormat="1" ht="14.25">
      <c r="A23" s="97" t="s">
        <v>236</v>
      </c>
      <c r="B23" s="95">
        <f>SUM(B21:B22)</f>
        <v>0</v>
      </c>
      <c r="C23" s="95">
        <f>SUM(C21:C22)</f>
        <v>15000</v>
      </c>
      <c r="D23" s="95">
        <f>SUM(D21:D22)</f>
        <v>0</v>
      </c>
      <c r="E23" s="95">
        <f aca="true" t="shared" si="3" ref="E23:S23">SUM(E21:E22)</f>
        <v>0</v>
      </c>
      <c r="F23" s="95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0</v>
      </c>
      <c r="J23" s="95">
        <f t="shared" si="3"/>
        <v>0</v>
      </c>
      <c r="K23" s="95">
        <f t="shared" si="3"/>
        <v>0</v>
      </c>
      <c r="L23" s="95"/>
      <c r="M23" s="95">
        <f t="shared" si="3"/>
        <v>0</v>
      </c>
      <c r="N23" s="95">
        <f t="shared" si="3"/>
        <v>0</v>
      </c>
      <c r="O23" s="95">
        <f t="shared" si="3"/>
        <v>0</v>
      </c>
      <c r="P23" s="95">
        <f t="shared" si="3"/>
        <v>0</v>
      </c>
      <c r="Q23" s="95">
        <f t="shared" si="3"/>
        <v>0</v>
      </c>
      <c r="R23" s="95">
        <f t="shared" si="3"/>
        <v>0</v>
      </c>
      <c r="S23" s="95">
        <f t="shared" si="3"/>
        <v>0</v>
      </c>
      <c r="T23" s="222">
        <f>SUM(B23:S23)</f>
        <v>15000</v>
      </c>
      <c r="U23" s="105"/>
      <c r="V23" s="105"/>
    </row>
    <row r="24" spans="1:22" s="96" customFormat="1" ht="14.25">
      <c r="A24" s="97" t="s">
        <v>237</v>
      </c>
      <c r="B24" s="95">
        <v>0</v>
      </c>
      <c r="C24" s="95">
        <f>SUM(15000+15000+15000+15000)</f>
        <v>60000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/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222">
        <f>SUM(B24:S24)</f>
        <v>60000</v>
      </c>
      <c r="U24" s="105"/>
      <c r="V24" s="105"/>
    </row>
    <row r="25" spans="1:22" s="96" customFormat="1" ht="14.25">
      <c r="A25" s="94" t="s">
        <v>241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222"/>
      <c r="U25" s="105"/>
      <c r="V25" s="105"/>
    </row>
    <row r="26" spans="1:22" s="96" customFormat="1" ht="14.25">
      <c r="A26" s="93" t="s">
        <v>242</v>
      </c>
      <c r="B26" s="95">
        <v>6270</v>
      </c>
      <c r="C26" s="95">
        <v>6530</v>
      </c>
      <c r="D26" s="95">
        <v>0</v>
      </c>
      <c r="E26" s="95">
        <v>0</v>
      </c>
      <c r="F26" s="95">
        <f>SUM(140)</f>
        <v>140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6530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222">
        <f>SUM(B26:S26)</f>
        <v>19470</v>
      </c>
      <c r="U26" s="105"/>
      <c r="V26" s="105"/>
    </row>
    <row r="27" spans="1:22" s="96" customFormat="1" ht="14.25">
      <c r="A27" s="93">
        <v>132</v>
      </c>
      <c r="B27" s="95">
        <v>2730</v>
      </c>
      <c r="C27" s="95">
        <v>2470</v>
      </c>
      <c r="D27" s="95">
        <v>0</v>
      </c>
      <c r="E27" s="95">
        <v>0</v>
      </c>
      <c r="F27" s="95">
        <f>SUM(5420+440)</f>
        <v>5860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2470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222">
        <f>SUM(B27:S27)</f>
        <v>13530</v>
      </c>
      <c r="U27" s="105"/>
      <c r="V27" s="105"/>
    </row>
    <row r="28" spans="1:22" s="96" customFormat="1" ht="14.25">
      <c r="A28" s="97" t="s">
        <v>236</v>
      </c>
      <c r="B28" s="95">
        <f>SUM(B26:B27)</f>
        <v>9000</v>
      </c>
      <c r="C28" s="95">
        <f>SUM(C26:C27)</f>
        <v>9000</v>
      </c>
      <c r="D28" s="95">
        <v>0</v>
      </c>
      <c r="E28" s="95">
        <f aca="true" t="shared" si="4" ref="E28:S28">SUM(E26:E27)</f>
        <v>0</v>
      </c>
      <c r="F28" s="95">
        <f>SUM(F26:F27)</f>
        <v>6000</v>
      </c>
      <c r="G28" s="95">
        <f t="shared" si="4"/>
        <v>0</v>
      </c>
      <c r="H28" s="95">
        <f t="shared" si="4"/>
        <v>0</v>
      </c>
      <c r="I28" s="95">
        <f t="shared" si="4"/>
        <v>0</v>
      </c>
      <c r="J28" s="95">
        <f t="shared" si="4"/>
        <v>0</v>
      </c>
      <c r="K28" s="95">
        <f t="shared" si="4"/>
        <v>0</v>
      </c>
      <c r="L28" s="95">
        <f>SUM(L26:L27)</f>
        <v>9000</v>
      </c>
      <c r="M28" s="95">
        <f t="shared" si="4"/>
        <v>0</v>
      </c>
      <c r="N28" s="95">
        <f t="shared" si="4"/>
        <v>0</v>
      </c>
      <c r="O28" s="95">
        <f t="shared" si="4"/>
        <v>0</v>
      </c>
      <c r="P28" s="95">
        <f t="shared" si="4"/>
        <v>0</v>
      </c>
      <c r="Q28" s="95">
        <f t="shared" si="4"/>
        <v>0</v>
      </c>
      <c r="R28" s="95">
        <f t="shared" si="4"/>
        <v>0</v>
      </c>
      <c r="S28" s="95">
        <f t="shared" si="4"/>
        <v>0</v>
      </c>
      <c r="T28" s="222">
        <f>SUM(B28:S28)</f>
        <v>33000</v>
      </c>
      <c r="U28" s="105"/>
      <c r="V28" s="105"/>
    </row>
    <row r="29" spans="1:22" s="96" customFormat="1" ht="14.25">
      <c r="A29" s="97" t="s">
        <v>237</v>
      </c>
      <c r="B29" s="95">
        <f>SUM(9000+9000+9000+9000)</f>
        <v>36000</v>
      </c>
      <c r="C29" s="95">
        <f>SUM(9000+9000+9000+9000)</f>
        <v>36000</v>
      </c>
      <c r="D29" s="95">
        <v>0</v>
      </c>
      <c r="E29" s="95">
        <v>0</v>
      </c>
      <c r="F29" s="95">
        <f>SUM(6000+6000+6000+6000)</f>
        <v>24000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f>SUM(9000+9000+9000+9000)</f>
        <v>36000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222">
        <f>SUM(B29:S29)</f>
        <v>132000</v>
      </c>
      <c r="U29" s="105"/>
      <c r="V29" s="105"/>
    </row>
    <row r="30" spans="1:22" s="96" customFormat="1" ht="14.25">
      <c r="A30" s="94" t="s">
        <v>243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222"/>
      <c r="U30" s="105"/>
      <c r="V30" s="105"/>
    </row>
    <row r="31" spans="1:22" s="96" customFormat="1" ht="14.25">
      <c r="A31" s="93" t="s">
        <v>244</v>
      </c>
      <c r="B31" s="95">
        <f>SUM(157200)</f>
        <v>157200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/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222">
        <f aca="true" t="shared" si="5" ref="T31:T36">SUM(B31:S31)</f>
        <v>157200</v>
      </c>
      <c r="U31" s="105"/>
      <c r="V31" s="105"/>
    </row>
    <row r="32" spans="1:22" s="96" customFormat="1" ht="14.25">
      <c r="A32" s="93" t="s">
        <v>245</v>
      </c>
      <c r="B32" s="95">
        <v>0</v>
      </c>
      <c r="C32" s="95">
        <v>0</v>
      </c>
      <c r="D32" s="95">
        <f>SUM(71400)</f>
        <v>71400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222">
        <f t="shared" si="5"/>
        <v>71400</v>
      </c>
      <c r="U32" s="105"/>
      <c r="V32" s="105"/>
    </row>
    <row r="33" spans="1:22" s="96" customFormat="1" ht="14.25">
      <c r="A33" s="93">
        <v>204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/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222">
        <f t="shared" si="5"/>
        <v>0</v>
      </c>
      <c r="U33" s="105"/>
      <c r="V33" s="105"/>
    </row>
    <row r="34" spans="1:22" s="96" customFormat="1" ht="14.25">
      <c r="A34" s="93" t="s">
        <v>246</v>
      </c>
      <c r="B34" s="95">
        <f>SUM(1600+1000)</f>
        <v>2600</v>
      </c>
      <c r="C34" s="95">
        <f>SUM(1250+1250+1000)</f>
        <v>3500</v>
      </c>
      <c r="D34" s="95">
        <v>0</v>
      </c>
      <c r="E34" s="95">
        <v>0</v>
      </c>
      <c r="F34" s="95">
        <f>SUM(2400)</f>
        <v>2400</v>
      </c>
      <c r="G34" s="95">
        <v>0</v>
      </c>
      <c r="H34" s="95">
        <v>0</v>
      </c>
      <c r="I34" s="95">
        <v>0</v>
      </c>
      <c r="J34" s="95">
        <f>SUM(1600)</f>
        <v>1600</v>
      </c>
      <c r="K34" s="95">
        <v>0</v>
      </c>
      <c r="L34" s="95"/>
      <c r="M34" s="95">
        <v>0</v>
      </c>
      <c r="N34" s="95">
        <v>0</v>
      </c>
      <c r="O34" s="95">
        <v>0</v>
      </c>
      <c r="P34" s="95">
        <v>0</v>
      </c>
      <c r="Q34" s="95">
        <f>SUM(2400)</f>
        <v>2400</v>
      </c>
      <c r="R34" s="95">
        <v>0</v>
      </c>
      <c r="S34" s="95">
        <v>0</v>
      </c>
      <c r="T34" s="222">
        <f t="shared" si="5"/>
        <v>12500</v>
      </c>
      <c r="U34" s="105"/>
      <c r="V34" s="105"/>
    </row>
    <row r="35" spans="1:22" s="96" customFormat="1" ht="14.25">
      <c r="A35" s="93" t="s">
        <v>247</v>
      </c>
      <c r="B35" s="95">
        <v>0</v>
      </c>
      <c r="C35" s="95">
        <v>1937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222">
        <f t="shared" si="5"/>
        <v>1937</v>
      </c>
      <c r="U35" s="105"/>
      <c r="V35" s="105"/>
    </row>
    <row r="36" spans="1:22" s="96" customFormat="1" ht="14.25">
      <c r="A36" s="93" t="s">
        <v>248</v>
      </c>
      <c r="B36" s="95">
        <f>SUM(1260+740+3897-750)</f>
        <v>5147</v>
      </c>
      <c r="C36" s="95">
        <f>SUM(2095+3850)</f>
        <v>5945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/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222">
        <f t="shared" si="5"/>
        <v>11092</v>
      </c>
      <c r="U36" s="105"/>
      <c r="V36" s="105"/>
    </row>
    <row r="37" spans="1:22" s="96" customFormat="1" ht="14.25">
      <c r="A37" s="97" t="s">
        <v>236</v>
      </c>
      <c r="B37" s="95">
        <f>SUM(B31:B36)</f>
        <v>164947</v>
      </c>
      <c r="C37" s="95">
        <f>SUM(C31:C36)</f>
        <v>11382</v>
      </c>
      <c r="D37" s="95">
        <f>SUM(D31:D36)</f>
        <v>71400</v>
      </c>
      <c r="E37" s="95">
        <f>SUM(E31:E36)</f>
        <v>0</v>
      </c>
      <c r="F37" s="95">
        <f>SUM(F31:F36)</f>
        <v>2400</v>
      </c>
      <c r="G37" s="95">
        <f aca="true" t="shared" si="6" ref="G37:R37">SUM(G31:G36)</f>
        <v>0</v>
      </c>
      <c r="H37" s="95">
        <f t="shared" si="6"/>
        <v>0</v>
      </c>
      <c r="I37" s="95">
        <f t="shared" si="6"/>
        <v>0</v>
      </c>
      <c r="J37" s="95">
        <f t="shared" si="6"/>
        <v>1600</v>
      </c>
      <c r="K37" s="95">
        <f t="shared" si="6"/>
        <v>0</v>
      </c>
      <c r="L37" s="95">
        <f>SUM(L31:L36)</f>
        <v>0</v>
      </c>
      <c r="M37" s="95">
        <f t="shared" si="6"/>
        <v>0</v>
      </c>
      <c r="N37" s="95">
        <f t="shared" si="6"/>
        <v>0</v>
      </c>
      <c r="O37" s="95">
        <f t="shared" si="6"/>
        <v>0</v>
      </c>
      <c r="P37" s="95">
        <f t="shared" si="6"/>
        <v>0</v>
      </c>
      <c r="Q37" s="95">
        <f t="shared" si="6"/>
        <v>2400</v>
      </c>
      <c r="R37" s="95">
        <f t="shared" si="6"/>
        <v>0</v>
      </c>
      <c r="S37" s="95">
        <f>SUM(S35:S36)</f>
        <v>0</v>
      </c>
      <c r="T37" s="222">
        <f>SUM(B37:S37)</f>
        <v>254129</v>
      </c>
      <c r="U37" s="105"/>
      <c r="V37" s="105"/>
    </row>
    <row r="38" spans="1:22" s="96" customFormat="1" ht="14.25">
      <c r="A38" s="97" t="s">
        <v>237</v>
      </c>
      <c r="B38" s="95">
        <f>SUM(165812.55+161668+159800+164947)</f>
        <v>652227.55</v>
      </c>
      <c r="C38" s="95">
        <f>SUM(4255+7701+3593+11382)</f>
        <v>26931</v>
      </c>
      <c r="D38" s="95">
        <f>SUM(71400)</f>
        <v>71400</v>
      </c>
      <c r="E38" s="95">
        <v>0</v>
      </c>
      <c r="F38" s="95">
        <f>SUM(4450+2400+3440+2400)</f>
        <v>12690</v>
      </c>
      <c r="G38" s="95">
        <v>0</v>
      </c>
      <c r="H38" s="95">
        <v>0</v>
      </c>
      <c r="I38" s="95">
        <v>0</v>
      </c>
      <c r="J38" s="95">
        <f>SUM(1600+1600+1600+1600)</f>
        <v>6400</v>
      </c>
      <c r="K38" s="95">
        <v>0</v>
      </c>
      <c r="L38" s="95">
        <f>SUM(1702)</f>
        <v>1702</v>
      </c>
      <c r="M38" s="95">
        <v>0</v>
      </c>
      <c r="N38" s="95">
        <v>0</v>
      </c>
      <c r="O38" s="95">
        <v>0</v>
      </c>
      <c r="P38" s="95">
        <v>0</v>
      </c>
      <c r="Q38" s="95">
        <f>SUM(2400+2400+2400+2400)</f>
        <v>9600</v>
      </c>
      <c r="R38" s="95">
        <v>0</v>
      </c>
      <c r="S38" s="95">
        <v>0</v>
      </c>
      <c r="T38" s="222">
        <f>SUM(B38:S38)</f>
        <v>780950.55</v>
      </c>
      <c r="U38" s="105"/>
      <c r="V38" s="105"/>
    </row>
    <row r="39" spans="1:22" s="96" customFormat="1" ht="14.25">
      <c r="A39" s="98"/>
      <c r="B39" s="99"/>
      <c r="C39" s="99"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223"/>
      <c r="U39" s="105"/>
      <c r="V39" s="105"/>
    </row>
    <row r="40" spans="1:22" s="96" customFormat="1" ht="14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223"/>
      <c r="U40" s="105"/>
      <c r="V40" s="105"/>
    </row>
    <row r="41" spans="1:22" s="96" customFormat="1" ht="14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223"/>
      <c r="U41" s="105"/>
      <c r="V41" s="105"/>
    </row>
    <row r="42" spans="1:20" ht="16.5">
      <c r="A42" s="253" t="s">
        <v>16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</row>
    <row r="43" spans="1:20" ht="16.5">
      <c r="A43" s="89" t="s">
        <v>204</v>
      </c>
      <c r="B43" s="250" t="s">
        <v>205</v>
      </c>
      <c r="C43" s="251"/>
      <c r="D43" s="250" t="s">
        <v>206</v>
      </c>
      <c r="E43" s="251"/>
      <c r="F43" s="250" t="s">
        <v>207</v>
      </c>
      <c r="G43" s="251"/>
      <c r="H43" s="90" t="s">
        <v>208</v>
      </c>
      <c r="I43" s="93" t="s">
        <v>209</v>
      </c>
      <c r="J43" s="250" t="s">
        <v>210</v>
      </c>
      <c r="K43" s="251"/>
      <c r="L43" s="250" t="s">
        <v>211</v>
      </c>
      <c r="M43" s="251"/>
      <c r="N43" s="250" t="s">
        <v>212</v>
      </c>
      <c r="O43" s="251"/>
      <c r="P43" s="91"/>
      <c r="Q43" s="250" t="s">
        <v>213</v>
      </c>
      <c r="R43" s="251"/>
      <c r="S43" s="11" t="s">
        <v>214</v>
      </c>
      <c r="T43" s="248" t="s">
        <v>215</v>
      </c>
    </row>
    <row r="44" spans="1:20" ht="16.5">
      <c r="A44" s="92" t="s">
        <v>83</v>
      </c>
      <c r="B44" s="93" t="s">
        <v>216</v>
      </c>
      <c r="C44" s="11" t="s">
        <v>217</v>
      </c>
      <c r="D44" s="11" t="s">
        <v>218</v>
      </c>
      <c r="E44" s="11" t="s">
        <v>219</v>
      </c>
      <c r="F44" s="11" t="s">
        <v>220</v>
      </c>
      <c r="G44" s="11" t="s">
        <v>221</v>
      </c>
      <c r="H44" s="11" t="s">
        <v>222</v>
      </c>
      <c r="I44" s="93" t="s">
        <v>223</v>
      </c>
      <c r="J44" s="11" t="s">
        <v>224</v>
      </c>
      <c r="K44" s="11" t="s">
        <v>225</v>
      </c>
      <c r="L44" s="11" t="s">
        <v>333</v>
      </c>
      <c r="M44" s="11" t="s">
        <v>226</v>
      </c>
      <c r="N44" s="11" t="s">
        <v>227</v>
      </c>
      <c r="O44" s="11" t="s">
        <v>228</v>
      </c>
      <c r="P44" s="93" t="s">
        <v>229</v>
      </c>
      <c r="Q44" s="11" t="s">
        <v>230</v>
      </c>
      <c r="R44" s="11" t="s">
        <v>231</v>
      </c>
      <c r="S44" s="11" t="s">
        <v>232</v>
      </c>
      <c r="T44" s="249"/>
    </row>
    <row r="45" spans="1:22" s="96" customFormat="1" ht="14.25">
      <c r="A45" s="94" t="s">
        <v>249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222"/>
      <c r="U45" s="105"/>
      <c r="V45" s="105"/>
    </row>
    <row r="46" spans="1:22" s="96" customFormat="1" ht="14.25">
      <c r="A46" s="93">
        <v>251</v>
      </c>
      <c r="B46" s="95">
        <f>SUM(6960+3163.99)</f>
        <v>10123.99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/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222">
        <f aca="true" t="shared" si="7" ref="T46:T51">SUM(B46:S46)</f>
        <v>10123.99</v>
      </c>
      <c r="U46" s="105"/>
      <c r="V46" s="105"/>
    </row>
    <row r="47" spans="1:22" s="96" customFormat="1" ht="14.25">
      <c r="A47" s="93" t="s">
        <v>250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/>
      <c r="K47" s="95">
        <v>0</v>
      </c>
      <c r="L47" s="95"/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222">
        <f t="shared" si="7"/>
        <v>0</v>
      </c>
      <c r="U47" s="105"/>
      <c r="V47" s="105"/>
    </row>
    <row r="48" spans="1:22" s="96" customFormat="1" ht="14.25">
      <c r="A48" s="93" t="s">
        <v>251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/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222">
        <f t="shared" si="7"/>
        <v>0</v>
      </c>
      <c r="U48" s="105"/>
      <c r="V48" s="105"/>
    </row>
    <row r="49" spans="1:22" s="96" customFormat="1" ht="14.25">
      <c r="A49" s="93" t="s">
        <v>252</v>
      </c>
      <c r="B49" s="95">
        <f>SUM(3140-360)</f>
        <v>2780</v>
      </c>
      <c r="C49" s="95">
        <f>SUM(300+470+3244-256)</f>
        <v>3758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/>
      <c r="M49" s="95">
        <v>0</v>
      </c>
      <c r="N49" s="95">
        <f>SUM(20000+2700+49200+17000+1700+9400)</f>
        <v>100000</v>
      </c>
      <c r="O49" s="95">
        <v>0</v>
      </c>
      <c r="P49" s="95">
        <v>0</v>
      </c>
      <c r="Q49" s="95">
        <f>SUM(8000+400+10000)</f>
        <v>18400</v>
      </c>
      <c r="R49" s="95">
        <v>0</v>
      </c>
      <c r="S49" s="95">
        <v>0</v>
      </c>
      <c r="T49" s="222">
        <f t="shared" si="7"/>
        <v>124938</v>
      </c>
      <c r="U49" s="105"/>
      <c r="V49" s="105"/>
    </row>
    <row r="50" spans="1:22" s="96" customFormat="1" ht="14.25">
      <c r="A50" s="97" t="s">
        <v>236</v>
      </c>
      <c r="B50" s="95">
        <f>SUM(B46:B49)</f>
        <v>12903.99</v>
      </c>
      <c r="C50" s="95">
        <f>SUM(C46:C49)</f>
        <v>3758</v>
      </c>
      <c r="D50" s="95">
        <f>SUM(D46:D49)</f>
        <v>0</v>
      </c>
      <c r="E50" s="95">
        <f>SUM(E46:E49)</f>
        <v>0</v>
      </c>
      <c r="F50" s="95">
        <v>0</v>
      </c>
      <c r="G50" s="95">
        <f aca="true" t="shared" si="8" ref="G50:L50">SUM(G46:G49)</f>
        <v>0</v>
      </c>
      <c r="H50" s="95">
        <f t="shared" si="8"/>
        <v>0</v>
      </c>
      <c r="I50" s="95">
        <f t="shared" si="8"/>
        <v>0</v>
      </c>
      <c r="J50" s="95">
        <f t="shared" si="8"/>
        <v>0</v>
      </c>
      <c r="K50" s="95">
        <f t="shared" si="8"/>
        <v>0</v>
      </c>
      <c r="L50" s="95">
        <f t="shared" si="8"/>
        <v>0</v>
      </c>
      <c r="M50" s="95">
        <f>SUM(M46:M49)</f>
        <v>0</v>
      </c>
      <c r="N50" s="95">
        <f aca="true" t="shared" si="9" ref="N50:S50">SUM(N46:N49)</f>
        <v>100000</v>
      </c>
      <c r="O50" s="95">
        <f t="shared" si="9"/>
        <v>0</v>
      </c>
      <c r="P50" s="95">
        <f t="shared" si="9"/>
        <v>0</v>
      </c>
      <c r="Q50" s="95">
        <f>SUM(Q46:Q49)</f>
        <v>18400</v>
      </c>
      <c r="R50" s="95">
        <v>0</v>
      </c>
      <c r="S50" s="95">
        <f t="shared" si="9"/>
        <v>0</v>
      </c>
      <c r="T50" s="222">
        <f>SUM(B50:S50)</f>
        <v>135061.99</v>
      </c>
      <c r="U50" s="105"/>
      <c r="V50" s="105"/>
    </row>
    <row r="51" spans="1:22" s="96" customFormat="1" ht="14.25">
      <c r="A51" s="97" t="s">
        <v>237</v>
      </c>
      <c r="B51" s="95">
        <f>SUM(65700+11786+9215+12903.99)</f>
        <v>99604.99</v>
      </c>
      <c r="C51" s="95">
        <f>SUM(53500+3758)</f>
        <v>57258</v>
      </c>
      <c r="D51" s="95">
        <v>0</v>
      </c>
      <c r="E51" s="95">
        <v>0</v>
      </c>
      <c r="F51" s="95">
        <v>0</v>
      </c>
      <c r="G51" s="95">
        <f>SUM(141594)</f>
        <v>141594</v>
      </c>
      <c r="H51" s="95">
        <v>0</v>
      </c>
      <c r="I51" s="95">
        <v>0</v>
      </c>
      <c r="J51" s="95">
        <f>SUM(9400+4072)</f>
        <v>13472</v>
      </c>
      <c r="K51" s="95">
        <v>0</v>
      </c>
      <c r="L51" s="95">
        <f>SUM(0)</f>
        <v>0</v>
      </c>
      <c r="M51" s="95">
        <v>0</v>
      </c>
      <c r="N51" s="95">
        <f>SUM(77470+100000)</f>
        <v>177470</v>
      </c>
      <c r="O51" s="95">
        <f>SUM(96400+137200+3150-40200)</f>
        <v>196550</v>
      </c>
      <c r="P51" s="95">
        <v>0</v>
      </c>
      <c r="Q51" s="95">
        <f>SUM(2030+18400)</f>
        <v>20430</v>
      </c>
      <c r="R51" s="95">
        <v>0</v>
      </c>
      <c r="S51" s="95">
        <v>0</v>
      </c>
      <c r="T51" s="222">
        <f t="shared" si="7"/>
        <v>706378.99</v>
      </c>
      <c r="U51" s="105"/>
      <c r="V51" s="105"/>
    </row>
    <row r="52" spans="1:22" s="96" customFormat="1" ht="14.25">
      <c r="A52" s="94" t="s">
        <v>253</v>
      </c>
      <c r="B52" s="95"/>
      <c r="C52" s="95">
        <v>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222"/>
      <c r="U52" s="105"/>
      <c r="V52" s="105"/>
    </row>
    <row r="53" spans="1:22" s="96" customFormat="1" ht="14.25">
      <c r="A53" s="93" t="s">
        <v>254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/>
      <c r="H53" s="95">
        <v>0</v>
      </c>
      <c r="I53" s="95">
        <v>0</v>
      </c>
      <c r="J53" s="95">
        <v>0</v>
      </c>
      <c r="K53" s="95">
        <v>0</v>
      </c>
      <c r="L53" s="95"/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222">
        <f aca="true" t="shared" si="10" ref="T53:T59">SUM(B53:S53)</f>
        <v>0</v>
      </c>
      <c r="U53" s="105"/>
      <c r="V53" s="105"/>
    </row>
    <row r="54" spans="1:22" s="96" customFormat="1" ht="14.25">
      <c r="A54" s="93" t="s">
        <v>255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/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222">
        <f t="shared" si="10"/>
        <v>0</v>
      </c>
      <c r="U54" s="105"/>
      <c r="V54" s="105"/>
    </row>
    <row r="55" spans="1:22" s="96" customFormat="1" ht="14.25">
      <c r="A55" s="93" t="s">
        <v>256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f>SUM(186310.4)</f>
        <v>186310.4</v>
      </c>
      <c r="H55" s="95">
        <v>0</v>
      </c>
      <c r="I55" s="95">
        <v>0</v>
      </c>
      <c r="J55" s="95">
        <v>0</v>
      </c>
      <c r="K55" s="95">
        <v>0</v>
      </c>
      <c r="L55" s="95"/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222">
        <f t="shared" si="10"/>
        <v>186310.4</v>
      </c>
      <c r="U55" s="105"/>
      <c r="V55" s="105"/>
    </row>
    <row r="56" spans="1:22" s="96" customFormat="1" ht="14.25">
      <c r="A56" s="93">
        <v>276</v>
      </c>
      <c r="B56" s="95">
        <f>SUM(4500)</f>
        <v>4500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222">
        <f>SUM(B56:S56)</f>
        <v>4500</v>
      </c>
      <c r="U56" s="105"/>
      <c r="V56" s="105"/>
    </row>
    <row r="57" spans="1:22" s="96" customFormat="1" ht="14.25">
      <c r="A57" s="93" t="s">
        <v>257</v>
      </c>
      <c r="B57" s="95">
        <v>1700</v>
      </c>
      <c r="C57" s="95">
        <v>1700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/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222">
        <f t="shared" si="10"/>
        <v>3400</v>
      </c>
      <c r="U57" s="105"/>
      <c r="V57" s="105"/>
    </row>
    <row r="58" spans="1:22" s="96" customFormat="1" ht="14.25">
      <c r="A58" s="93">
        <v>281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/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222">
        <f>SUM(B58:S58)</f>
        <v>0</v>
      </c>
      <c r="U58" s="105"/>
      <c r="V58" s="105"/>
    </row>
    <row r="59" spans="1:22" s="96" customFormat="1" ht="14.25">
      <c r="A59" s="93" t="s">
        <v>258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/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222">
        <f t="shared" si="10"/>
        <v>0</v>
      </c>
      <c r="U59" s="105"/>
      <c r="V59" s="105"/>
    </row>
    <row r="60" spans="1:22" s="96" customFormat="1" ht="14.25">
      <c r="A60" s="97" t="s">
        <v>236</v>
      </c>
      <c r="B60" s="95">
        <f>SUM(B53:B59)</f>
        <v>6200</v>
      </c>
      <c r="C60" s="95">
        <f>SUM(C53:C59)</f>
        <v>1700</v>
      </c>
      <c r="D60" s="95">
        <f>SUM(D53:D59)</f>
        <v>0</v>
      </c>
      <c r="E60" s="95">
        <f aca="true" t="shared" si="11" ref="E60:O60">SUM(E53:E59)</f>
        <v>0</v>
      </c>
      <c r="F60" s="95">
        <f>SUM(F53:F59)</f>
        <v>0</v>
      </c>
      <c r="G60" s="95">
        <f>SUM(G53:G59)</f>
        <v>186310.4</v>
      </c>
      <c r="H60" s="95">
        <f t="shared" si="11"/>
        <v>0</v>
      </c>
      <c r="I60" s="95">
        <f t="shared" si="11"/>
        <v>0</v>
      </c>
      <c r="J60" s="95">
        <f>SUM(J53:J59)</f>
        <v>0</v>
      </c>
      <c r="K60" s="95">
        <f t="shared" si="11"/>
        <v>0</v>
      </c>
      <c r="L60" s="95">
        <f>SUM(L53:L59)</f>
        <v>0</v>
      </c>
      <c r="M60" s="95">
        <f t="shared" si="11"/>
        <v>0</v>
      </c>
      <c r="N60" s="95">
        <f t="shared" si="11"/>
        <v>0</v>
      </c>
      <c r="O60" s="95">
        <f t="shared" si="11"/>
        <v>0</v>
      </c>
      <c r="P60" s="95">
        <f>SUM(P53:P59)</f>
        <v>0</v>
      </c>
      <c r="Q60" s="95">
        <f>SUM(Q53:Q59)</f>
        <v>0</v>
      </c>
      <c r="R60" s="95">
        <f>SUM(R53:R59)</f>
        <v>0</v>
      </c>
      <c r="S60" s="95">
        <f>SUM(S57:S59)</f>
        <v>0</v>
      </c>
      <c r="T60" s="222">
        <f>SUM(B60:S60)</f>
        <v>194210.4</v>
      </c>
      <c r="U60" s="105"/>
      <c r="V60" s="105"/>
    </row>
    <row r="61" spans="1:22" s="96" customFormat="1" ht="14.25">
      <c r="A61" s="97" t="s">
        <v>237</v>
      </c>
      <c r="B61" s="95">
        <f>SUM(4700+3000+6200)</f>
        <v>13900</v>
      </c>
      <c r="C61" s="95">
        <f>SUM(1700)</f>
        <v>1700</v>
      </c>
      <c r="D61" s="95">
        <v>0</v>
      </c>
      <c r="E61" s="95">
        <v>0</v>
      </c>
      <c r="F61" s="95">
        <v>0</v>
      </c>
      <c r="G61" s="95">
        <f>SUM(186310.4)</f>
        <v>186310.4</v>
      </c>
      <c r="H61" s="95">
        <v>0</v>
      </c>
      <c r="I61" s="95">
        <v>0</v>
      </c>
      <c r="J61" s="95">
        <v>0</v>
      </c>
      <c r="K61" s="95">
        <v>0</v>
      </c>
      <c r="L61" s="95">
        <f>SUM(0)</f>
        <v>0</v>
      </c>
      <c r="M61" s="95">
        <v>0</v>
      </c>
      <c r="N61" s="95">
        <v>0</v>
      </c>
      <c r="O61" s="226">
        <v>0</v>
      </c>
      <c r="P61" s="95">
        <v>0</v>
      </c>
      <c r="Q61" s="95">
        <v>0</v>
      </c>
      <c r="R61" s="95">
        <v>0</v>
      </c>
      <c r="S61" s="95">
        <v>0</v>
      </c>
      <c r="T61" s="222">
        <f>SUM(B61:S61)</f>
        <v>201910.4</v>
      </c>
      <c r="U61" s="105"/>
      <c r="V61" s="105"/>
    </row>
    <row r="62" spans="1:22" s="96" customFormat="1" ht="14.25">
      <c r="A62" s="94" t="s">
        <v>259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22"/>
      <c r="U62" s="105"/>
      <c r="V62" s="105"/>
    </row>
    <row r="63" spans="1:22" s="96" customFormat="1" ht="14.25">
      <c r="A63" s="93" t="s">
        <v>260</v>
      </c>
      <c r="B63" s="95">
        <f>SUM(9196.65)</f>
        <v>9196.65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f>SUM(570.4)</f>
        <v>570.4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222">
        <f>SUM(B63:S63)</f>
        <v>9767.05</v>
      </c>
      <c r="U63" s="105"/>
      <c r="V63" s="105"/>
    </row>
    <row r="64" spans="1:22" s="96" customFormat="1" ht="14.25">
      <c r="A64" s="93">
        <v>303</v>
      </c>
      <c r="B64" s="95">
        <f>SUM(246.1)</f>
        <v>246.1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/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222"/>
      <c r="U64" s="105"/>
      <c r="V64" s="105"/>
    </row>
    <row r="65" spans="1:22" s="96" customFormat="1" ht="14.25">
      <c r="A65" s="93">
        <v>304</v>
      </c>
      <c r="B65" s="95">
        <v>0</v>
      </c>
      <c r="C65" s="95">
        <v>0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222"/>
      <c r="U65" s="105"/>
      <c r="V65" s="105"/>
    </row>
    <row r="66" spans="1:22" s="96" customFormat="1" ht="14.25">
      <c r="A66" s="93" t="s">
        <v>261</v>
      </c>
      <c r="B66" s="95">
        <f>SUM(8324.6)</f>
        <v>8324.6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/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222">
        <f>SUM(B66:S66)</f>
        <v>8324.6</v>
      </c>
      <c r="U66" s="105"/>
      <c r="V66" s="105"/>
    </row>
    <row r="67" spans="1:22" s="96" customFormat="1" ht="14.25">
      <c r="A67" s="97" t="s">
        <v>236</v>
      </c>
      <c r="B67" s="95">
        <f>SUM(B63:B66)</f>
        <v>17767.35</v>
      </c>
      <c r="C67" s="95">
        <f aca="true" t="shared" si="12" ref="C67:O67">SUM(C63:C66)</f>
        <v>0</v>
      </c>
      <c r="D67" s="95">
        <f t="shared" si="12"/>
        <v>0</v>
      </c>
      <c r="E67" s="95">
        <f t="shared" si="12"/>
        <v>0</v>
      </c>
      <c r="F67" s="95">
        <f t="shared" si="12"/>
        <v>0</v>
      </c>
      <c r="G67" s="95">
        <f t="shared" si="12"/>
        <v>0</v>
      </c>
      <c r="H67" s="95"/>
      <c r="I67" s="95">
        <f t="shared" si="12"/>
        <v>0</v>
      </c>
      <c r="J67" s="95">
        <f t="shared" si="12"/>
        <v>0</v>
      </c>
      <c r="K67" s="95">
        <f t="shared" si="12"/>
        <v>0</v>
      </c>
      <c r="L67" s="95">
        <f>SUM(L63:L66)</f>
        <v>570.4</v>
      </c>
      <c r="M67" s="95">
        <f t="shared" si="12"/>
        <v>0</v>
      </c>
      <c r="N67" s="95">
        <f t="shared" si="12"/>
        <v>0</v>
      </c>
      <c r="O67" s="95">
        <f t="shared" si="12"/>
        <v>0</v>
      </c>
      <c r="P67" s="95">
        <f>SUM(P63:P66)</f>
        <v>0</v>
      </c>
      <c r="Q67" s="95">
        <f>SUM(Q63:Q66)</f>
        <v>0</v>
      </c>
      <c r="R67" s="95">
        <f>SUM(R63:R66)</f>
        <v>0</v>
      </c>
      <c r="S67" s="95">
        <f>SUM(S63:S66)</f>
        <v>0</v>
      </c>
      <c r="T67" s="222">
        <f>SUM(B67:S67)</f>
        <v>18337.75</v>
      </c>
      <c r="U67" s="105"/>
      <c r="V67" s="105"/>
    </row>
    <row r="68" spans="1:22" s="96" customFormat="1" ht="14.25">
      <c r="A68" s="97" t="s">
        <v>237</v>
      </c>
      <c r="B68" s="95">
        <f>SUM(13500+18020.98+18440.83+17767.35)</f>
        <v>67729.16</v>
      </c>
      <c r="C68" s="95">
        <f>SUM(883)</f>
        <v>883</v>
      </c>
      <c r="D68" s="95">
        <v>0</v>
      </c>
      <c r="E68" s="95">
        <v>0</v>
      </c>
      <c r="F68" s="95">
        <v>0</v>
      </c>
      <c r="G68" s="95">
        <v>0</v>
      </c>
      <c r="H68" s="95"/>
      <c r="I68" s="95">
        <v>0</v>
      </c>
      <c r="J68" s="95">
        <v>0</v>
      </c>
      <c r="K68" s="95">
        <v>0</v>
      </c>
      <c r="L68" s="95">
        <f>SUM(881.68+606.5+570.4)</f>
        <v>2058.58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222">
        <f>SUM(B68:S68)</f>
        <v>70670.74</v>
      </c>
      <c r="U68" s="105"/>
      <c r="V68" s="105"/>
    </row>
    <row r="69" spans="1:22" s="96" customFormat="1" ht="14.25">
      <c r="A69" s="94" t="s">
        <v>262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222"/>
      <c r="U69" s="105"/>
      <c r="V69" s="105"/>
    </row>
    <row r="70" spans="1:22" s="96" customFormat="1" ht="14.25">
      <c r="A70" s="93" t="s">
        <v>263</v>
      </c>
      <c r="B70" s="95">
        <v>0</v>
      </c>
      <c r="C70" s="95">
        <v>0</v>
      </c>
      <c r="D70" s="95">
        <v>20000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/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222">
        <f>SUM(B70:S70)</f>
        <v>20000</v>
      </c>
      <c r="U70" s="105"/>
      <c r="V70" s="105"/>
    </row>
    <row r="71" spans="1:22" s="96" customFormat="1" ht="14.25">
      <c r="A71" s="97" t="s">
        <v>236</v>
      </c>
      <c r="B71" s="95">
        <f aca="true" t="shared" si="13" ref="B71:N71">SUM(B70)</f>
        <v>0</v>
      </c>
      <c r="C71" s="95">
        <f t="shared" si="13"/>
        <v>0</v>
      </c>
      <c r="D71" s="95">
        <f>SUM(D70)</f>
        <v>20000</v>
      </c>
      <c r="E71" s="95">
        <f t="shared" si="13"/>
        <v>0</v>
      </c>
      <c r="F71" s="95">
        <v>0</v>
      </c>
      <c r="G71" s="95">
        <f t="shared" si="13"/>
        <v>0</v>
      </c>
      <c r="H71" s="95">
        <f t="shared" si="13"/>
        <v>0</v>
      </c>
      <c r="I71" s="95">
        <f>SUM(I70)</f>
        <v>0</v>
      </c>
      <c r="J71" s="95">
        <v>0</v>
      </c>
      <c r="K71" s="95">
        <f t="shared" si="13"/>
        <v>0</v>
      </c>
      <c r="L71" s="95">
        <f>SUM(L70)</f>
        <v>0</v>
      </c>
      <c r="M71" s="95">
        <f t="shared" si="13"/>
        <v>0</v>
      </c>
      <c r="N71" s="95">
        <f t="shared" si="13"/>
        <v>0</v>
      </c>
      <c r="O71" s="95">
        <f>SUM(O70)</f>
        <v>0</v>
      </c>
      <c r="P71" s="95">
        <v>0</v>
      </c>
      <c r="Q71" s="95">
        <f>SUM(Q70)</f>
        <v>0</v>
      </c>
      <c r="R71" s="95">
        <f>SUM(R70)</f>
        <v>0</v>
      </c>
      <c r="S71" s="95">
        <f>SUM(S69:S70)</f>
        <v>0</v>
      </c>
      <c r="T71" s="222">
        <f>SUM(B71:S71)</f>
        <v>20000</v>
      </c>
      <c r="U71" s="105">
        <v>0</v>
      </c>
      <c r="V71" s="105"/>
    </row>
    <row r="72" spans="1:22" s="96" customFormat="1" ht="14.25">
      <c r="A72" s="97" t="s">
        <v>237</v>
      </c>
      <c r="B72" s="95">
        <v>0</v>
      </c>
      <c r="C72" s="95">
        <v>0</v>
      </c>
      <c r="D72" s="95">
        <f>SUM(20000)</f>
        <v>20000</v>
      </c>
      <c r="E72" s="95">
        <v>0</v>
      </c>
      <c r="F72" s="95">
        <v>0</v>
      </c>
      <c r="G72" s="95">
        <f>SUM(893100)</f>
        <v>893100</v>
      </c>
      <c r="H72" s="95">
        <v>0</v>
      </c>
      <c r="I72" s="95">
        <v>0</v>
      </c>
      <c r="J72" s="95">
        <v>0</v>
      </c>
      <c r="K72" s="95">
        <v>0</v>
      </c>
      <c r="L72" s="95">
        <f>SUM(0)</f>
        <v>0</v>
      </c>
      <c r="M72" s="95">
        <v>0</v>
      </c>
      <c r="N72" s="95">
        <v>0</v>
      </c>
      <c r="O72" s="95">
        <f>SUM(30000)</f>
        <v>30000</v>
      </c>
      <c r="P72" s="95">
        <v>0</v>
      </c>
      <c r="Q72" s="95">
        <v>0</v>
      </c>
      <c r="R72" s="95">
        <v>0</v>
      </c>
      <c r="S72" s="95">
        <v>0</v>
      </c>
      <c r="T72" s="222">
        <f>SUM(B72:S72)</f>
        <v>943100</v>
      </c>
      <c r="U72" s="105"/>
      <c r="V72" s="105"/>
    </row>
    <row r="73" spans="1:20" ht="16.5">
      <c r="A73" s="100"/>
      <c r="B73" s="99"/>
      <c r="C73" s="12"/>
      <c r="D73" s="12"/>
      <c r="E73" s="12"/>
      <c r="F73" s="12"/>
      <c r="G73" s="12"/>
      <c r="H73" s="12"/>
      <c r="I73" s="99"/>
      <c r="J73" s="12"/>
      <c r="K73" s="12"/>
      <c r="L73" s="12"/>
      <c r="M73" s="12"/>
      <c r="N73" s="12"/>
      <c r="O73" s="12"/>
      <c r="P73" s="99"/>
      <c r="Q73" s="12"/>
      <c r="R73" s="12"/>
      <c r="S73" s="12"/>
      <c r="T73" s="224"/>
    </row>
    <row r="74" spans="1:20" ht="16.5">
      <c r="A74" s="100"/>
      <c r="B74" s="99"/>
      <c r="C74" s="12"/>
      <c r="D74" s="12"/>
      <c r="E74" s="12"/>
      <c r="F74" s="12"/>
      <c r="G74" s="12"/>
      <c r="H74" s="12"/>
      <c r="I74" s="99"/>
      <c r="J74" s="12"/>
      <c r="K74" s="12"/>
      <c r="L74" s="12"/>
      <c r="M74" s="12"/>
      <c r="N74" s="12"/>
      <c r="O74" s="12"/>
      <c r="P74" s="99"/>
      <c r="Q74" s="12"/>
      <c r="R74" s="12"/>
      <c r="S74" s="12"/>
      <c r="T74" s="224"/>
    </row>
    <row r="75" spans="1:20" ht="16.5">
      <c r="A75" s="100"/>
      <c r="B75" s="99"/>
      <c r="C75" s="12"/>
      <c r="D75" s="12"/>
      <c r="E75" s="12"/>
      <c r="F75" s="12"/>
      <c r="G75" s="12"/>
      <c r="H75" s="12"/>
      <c r="I75" s="99"/>
      <c r="J75" s="12"/>
      <c r="K75" s="12"/>
      <c r="L75" s="12"/>
      <c r="M75" s="12"/>
      <c r="N75" s="12"/>
      <c r="O75" s="12"/>
      <c r="P75" s="99"/>
      <c r="Q75" s="12"/>
      <c r="R75" s="12"/>
      <c r="S75" s="12"/>
      <c r="T75" s="224"/>
    </row>
    <row r="76" spans="1:20" ht="16.5">
      <c r="A76" s="100"/>
      <c r="B76" s="99"/>
      <c r="C76" s="12"/>
      <c r="D76" s="12"/>
      <c r="E76" s="12"/>
      <c r="F76" s="12"/>
      <c r="G76" s="12"/>
      <c r="H76" s="12"/>
      <c r="I76" s="99"/>
      <c r="J76" s="12"/>
      <c r="K76" s="12"/>
      <c r="L76" s="12"/>
      <c r="M76" s="12"/>
      <c r="N76" s="12"/>
      <c r="O76" s="12"/>
      <c r="P76" s="99"/>
      <c r="Q76" s="12"/>
      <c r="R76" s="12"/>
      <c r="S76" s="12"/>
      <c r="T76" s="224"/>
    </row>
    <row r="77" spans="1:20" ht="16.5">
      <c r="A77" s="100"/>
      <c r="B77" s="99"/>
      <c r="C77" s="12"/>
      <c r="D77" s="12"/>
      <c r="E77" s="12"/>
      <c r="F77" s="12"/>
      <c r="G77" s="12"/>
      <c r="H77" s="12"/>
      <c r="I77" s="99"/>
      <c r="J77" s="12"/>
      <c r="K77" s="12"/>
      <c r="L77" s="12"/>
      <c r="M77" s="12"/>
      <c r="N77" s="12"/>
      <c r="O77" s="12"/>
      <c r="P77" s="99"/>
      <c r="Q77" s="12"/>
      <c r="R77" s="12"/>
      <c r="S77" s="12"/>
      <c r="T77" s="224"/>
    </row>
    <row r="78" spans="1:20" ht="16.5">
      <c r="A78" s="100"/>
      <c r="B78" s="99"/>
      <c r="C78" s="12"/>
      <c r="D78" s="12"/>
      <c r="E78" s="12"/>
      <c r="F78" s="12"/>
      <c r="G78" s="12"/>
      <c r="H78" s="12"/>
      <c r="I78" s="99"/>
      <c r="J78" s="12"/>
      <c r="K78" s="12"/>
      <c r="L78" s="12"/>
      <c r="M78" s="12"/>
      <c r="N78" s="12"/>
      <c r="O78" s="12"/>
      <c r="P78" s="99"/>
      <c r="Q78" s="12"/>
      <c r="R78" s="12"/>
      <c r="S78" s="12"/>
      <c r="T78" s="224"/>
    </row>
    <row r="79" spans="1:20" ht="16.5">
      <c r="A79" s="253" t="s">
        <v>15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</row>
    <row r="80" spans="1:20" ht="16.5">
      <c r="A80" s="89" t="s">
        <v>204</v>
      </c>
      <c r="B80" s="250" t="s">
        <v>205</v>
      </c>
      <c r="C80" s="251"/>
      <c r="D80" s="250" t="s">
        <v>206</v>
      </c>
      <c r="E80" s="251"/>
      <c r="F80" s="250" t="s">
        <v>207</v>
      </c>
      <c r="G80" s="251"/>
      <c r="H80" s="90" t="s">
        <v>208</v>
      </c>
      <c r="I80" s="93" t="s">
        <v>209</v>
      </c>
      <c r="J80" s="250" t="s">
        <v>210</v>
      </c>
      <c r="K80" s="251"/>
      <c r="L80" s="250" t="s">
        <v>211</v>
      </c>
      <c r="M80" s="251"/>
      <c r="N80" s="250" t="s">
        <v>212</v>
      </c>
      <c r="O80" s="251"/>
      <c r="P80" s="91" t="s">
        <v>264</v>
      </c>
      <c r="Q80" s="250" t="s">
        <v>213</v>
      </c>
      <c r="R80" s="251"/>
      <c r="S80" s="11" t="s">
        <v>214</v>
      </c>
      <c r="T80" s="248" t="s">
        <v>215</v>
      </c>
    </row>
    <row r="81" spans="1:20" ht="16.5">
      <c r="A81" s="92" t="s">
        <v>83</v>
      </c>
      <c r="B81" s="93" t="s">
        <v>216</v>
      </c>
      <c r="C81" s="11" t="s">
        <v>217</v>
      </c>
      <c r="D81" s="11" t="s">
        <v>218</v>
      </c>
      <c r="E81" s="11" t="s">
        <v>219</v>
      </c>
      <c r="F81" s="11" t="s">
        <v>220</v>
      </c>
      <c r="G81" s="11" t="s">
        <v>221</v>
      </c>
      <c r="H81" s="11" t="s">
        <v>222</v>
      </c>
      <c r="I81" s="93" t="s">
        <v>223</v>
      </c>
      <c r="J81" s="11" t="s">
        <v>224</v>
      </c>
      <c r="K81" s="11" t="s">
        <v>225</v>
      </c>
      <c r="L81" s="11" t="s">
        <v>333</v>
      </c>
      <c r="M81" s="11" t="s">
        <v>226</v>
      </c>
      <c r="N81" s="11" t="s">
        <v>227</v>
      </c>
      <c r="O81" s="11" t="s">
        <v>228</v>
      </c>
      <c r="P81" s="93" t="s">
        <v>229</v>
      </c>
      <c r="Q81" s="11" t="s">
        <v>230</v>
      </c>
      <c r="R81" s="11" t="s">
        <v>231</v>
      </c>
      <c r="S81" s="11" t="s">
        <v>232</v>
      </c>
      <c r="T81" s="249"/>
    </row>
    <row r="82" spans="1:22" s="96" customFormat="1" ht="14.25">
      <c r="A82" s="94" t="s">
        <v>265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222"/>
      <c r="U82" s="105"/>
      <c r="V82" s="105"/>
    </row>
    <row r="83" spans="1:22" s="96" customFormat="1" ht="14.25">
      <c r="A83" s="93" t="s">
        <v>266</v>
      </c>
      <c r="B83" s="95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/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222">
        <f aca="true" t="shared" si="14" ref="T83:T93">SUM(B83:S83)</f>
        <v>0</v>
      </c>
      <c r="U83" s="105"/>
      <c r="V83" s="105"/>
    </row>
    <row r="84" spans="1:22" s="96" customFormat="1" ht="14.25">
      <c r="A84" s="93">
        <v>456</v>
      </c>
      <c r="B84" s="95">
        <v>0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/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222">
        <f t="shared" si="14"/>
        <v>0</v>
      </c>
      <c r="U84" s="105"/>
      <c r="V84" s="105"/>
    </row>
    <row r="85" spans="1:22" s="96" customFormat="1" ht="14.25">
      <c r="A85" s="93">
        <v>457</v>
      </c>
      <c r="B85" s="95">
        <v>0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/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222">
        <f t="shared" si="14"/>
        <v>0</v>
      </c>
      <c r="U85" s="105"/>
      <c r="V85" s="105"/>
    </row>
    <row r="86" spans="1:22" s="96" customFormat="1" ht="14.25">
      <c r="A86" s="93">
        <v>458</v>
      </c>
      <c r="B86" s="95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/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222">
        <f t="shared" si="14"/>
        <v>0</v>
      </c>
      <c r="U86" s="105"/>
      <c r="V86" s="105"/>
    </row>
    <row r="87" spans="1:22" s="96" customFormat="1" ht="14.25">
      <c r="A87" s="93">
        <v>459</v>
      </c>
      <c r="B87" s="95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/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222">
        <f t="shared" si="14"/>
        <v>0</v>
      </c>
      <c r="U87" s="105"/>
      <c r="V87" s="105"/>
    </row>
    <row r="88" spans="1:22" s="96" customFormat="1" ht="14.25">
      <c r="A88" s="93">
        <v>463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/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222">
        <f t="shared" si="14"/>
        <v>0</v>
      </c>
      <c r="U88" s="105"/>
      <c r="V88" s="105"/>
    </row>
    <row r="89" spans="1:22" s="96" customFormat="1" ht="14.25">
      <c r="A89" s="93">
        <v>465</v>
      </c>
      <c r="B89" s="95">
        <v>0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/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222">
        <f t="shared" si="14"/>
        <v>0</v>
      </c>
      <c r="U89" s="105"/>
      <c r="V89" s="105"/>
    </row>
    <row r="90" spans="1:22" s="96" customFormat="1" ht="14.25">
      <c r="A90" s="93">
        <v>466</v>
      </c>
      <c r="B90" s="95">
        <v>0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/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222">
        <f t="shared" si="14"/>
        <v>0</v>
      </c>
      <c r="U90" s="105"/>
      <c r="V90" s="105"/>
    </row>
    <row r="91" spans="1:22" s="96" customFormat="1" ht="14.25">
      <c r="A91" s="93">
        <v>467</v>
      </c>
      <c r="B91" s="95">
        <v>0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/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222">
        <f t="shared" si="14"/>
        <v>0</v>
      </c>
      <c r="U91" s="105"/>
      <c r="V91" s="105"/>
    </row>
    <row r="92" spans="1:22" s="96" customFormat="1" ht="14.25">
      <c r="A92" s="97" t="s">
        <v>236</v>
      </c>
      <c r="B92" s="95">
        <f>SUM(B83:B91)</f>
        <v>0</v>
      </c>
      <c r="C92" s="95">
        <f aca="true" t="shared" si="15" ref="C92:S92">SUM(C83:C91)</f>
        <v>0</v>
      </c>
      <c r="D92" s="95">
        <f t="shared" si="15"/>
        <v>0</v>
      </c>
      <c r="E92" s="95">
        <f t="shared" si="15"/>
        <v>0</v>
      </c>
      <c r="F92" s="95">
        <f t="shared" si="15"/>
        <v>0</v>
      </c>
      <c r="G92" s="95">
        <f>SUM(G83:G91)</f>
        <v>0</v>
      </c>
      <c r="H92" s="95">
        <f t="shared" si="15"/>
        <v>0</v>
      </c>
      <c r="I92" s="95">
        <f t="shared" si="15"/>
        <v>0</v>
      </c>
      <c r="J92" s="95">
        <f t="shared" si="15"/>
        <v>0</v>
      </c>
      <c r="K92" s="95">
        <f t="shared" si="15"/>
        <v>0</v>
      </c>
      <c r="L92" s="95">
        <f>SUM(L83:L91)</f>
        <v>0</v>
      </c>
      <c r="M92" s="95">
        <f t="shared" si="15"/>
        <v>0</v>
      </c>
      <c r="N92" s="95">
        <f t="shared" si="15"/>
        <v>0</v>
      </c>
      <c r="O92" s="95">
        <f t="shared" si="15"/>
        <v>0</v>
      </c>
      <c r="P92" s="95">
        <f t="shared" si="15"/>
        <v>0</v>
      </c>
      <c r="Q92" s="95">
        <f t="shared" si="15"/>
        <v>0</v>
      </c>
      <c r="R92" s="95">
        <f t="shared" si="15"/>
        <v>0</v>
      </c>
      <c r="S92" s="95">
        <f t="shared" si="15"/>
        <v>0</v>
      </c>
      <c r="T92" s="222">
        <f t="shared" si="14"/>
        <v>0</v>
      </c>
      <c r="U92" s="105"/>
      <c r="V92" s="105"/>
    </row>
    <row r="93" spans="1:22" s="96" customFormat="1" ht="14.25">
      <c r="A93" s="97" t="s">
        <v>237</v>
      </c>
      <c r="B93" s="95">
        <v>0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f>SUM(0)</f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222">
        <f t="shared" si="14"/>
        <v>0</v>
      </c>
      <c r="U93" s="105"/>
      <c r="V93" s="105"/>
    </row>
    <row r="94" spans="1:22" s="96" customFormat="1" ht="14.25">
      <c r="A94" s="94" t="s">
        <v>267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222"/>
      <c r="U94" s="105"/>
      <c r="V94" s="105"/>
    </row>
    <row r="95" spans="1:22" s="96" customFormat="1" ht="14.25">
      <c r="A95" s="93">
        <v>501</v>
      </c>
      <c r="B95" s="95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/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222">
        <f aca="true" t="shared" si="16" ref="T95:T107">SUM(B95:S95)</f>
        <v>0</v>
      </c>
      <c r="U95" s="105"/>
      <c r="V95" s="105"/>
    </row>
    <row r="96" spans="1:22" s="96" customFormat="1" ht="14.25">
      <c r="A96" s="93">
        <v>502</v>
      </c>
      <c r="B96" s="95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/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222">
        <f t="shared" si="16"/>
        <v>0</v>
      </c>
      <c r="U96" s="105"/>
      <c r="V96" s="105"/>
    </row>
    <row r="97" spans="1:22" s="96" customFormat="1" ht="14.25">
      <c r="A97" s="93">
        <v>507</v>
      </c>
      <c r="B97" s="95">
        <v>0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/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222">
        <f t="shared" si="16"/>
        <v>0</v>
      </c>
      <c r="U97" s="105"/>
      <c r="V97" s="105"/>
    </row>
    <row r="98" spans="1:22" s="96" customFormat="1" ht="14.25">
      <c r="A98" s="93">
        <v>509</v>
      </c>
      <c r="B98" s="95">
        <v>0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/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222">
        <f>SUM(B98:S98)</f>
        <v>0</v>
      </c>
      <c r="U98" s="105"/>
      <c r="V98" s="105"/>
    </row>
    <row r="99" spans="1:22" s="96" customFormat="1" ht="14.25">
      <c r="A99" s="93">
        <v>511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/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222">
        <f t="shared" si="16"/>
        <v>0</v>
      </c>
      <c r="U99" s="105"/>
      <c r="V99" s="105"/>
    </row>
    <row r="100" spans="1:22" s="96" customFormat="1" ht="14.25">
      <c r="A100" s="93" t="s">
        <v>268</v>
      </c>
      <c r="B100" s="95">
        <v>0</v>
      </c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/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222">
        <f t="shared" si="16"/>
        <v>0</v>
      </c>
      <c r="U100" s="105"/>
      <c r="V100" s="105"/>
    </row>
    <row r="101" spans="1:22" s="96" customFormat="1" ht="14.25">
      <c r="A101" s="93" t="s">
        <v>269</v>
      </c>
      <c r="B101" s="95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/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222">
        <f t="shared" si="16"/>
        <v>0</v>
      </c>
      <c r="U101" s="105"/>
      <c r="V101" s="105"/>
    </row>
    <row r="102" spans="1:22" s="96" customFormat="1" ht="14.25">
      <c r="A102" s="93">
        <v>517</v>
      </c>
      <c r="B102" s="95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/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222">
        <f t="shared" si="16"/>
        <v>0</v>
      </c>
      <c r="U102" s="105"/>
      <c r="V102" s="105"/>
    </row>
    <row r="103" spans="1:22" s="96" customFormat="1" ht="14.25">
      <c r="A103" s="93">
        <v>519</v>
      </c>
      <c r="B103" s="95">
        <v>0</v>
      </c>
      <c r="C103" s="95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/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222"/>
      <c r="U103" s="105"/>
      <c r="V103" s="105"/>
    </row>
    <row r="104" spans="1:22" s="96" customFormat="1" ht="14.25">
      <c r="A104" s="97" t="s">
        <v>236</v>
      </c>
      <c r="B104" s="95">
        <f>SUM(B97:B102)</f>
        <v>0</v>
      </c>
      <c r="C104" s="95">
        <f aca="true" t="shared" si="17" ref="C104:S104">SUM(C97:C102)</f>
        <v>0</v>
      </c>
      <c r="D104" s="95">
        <f t="shared" si="17"/>
        <v>0</v>
      </c>
      <c r="E104" s="95">
        <f t="shared" si="17"/>
        <v>0</v>
      </c>
      <c r="F104" s="95">
        <f t="shared" si="17"/>
        <v>0</v>
      </c>
      <c r="G104" s="95">
        <f t="shared" si="17"/>
        <v>0</v>
      </c>
      <c r="H104" s="95">
        <f t="shared" si="17"/>
        <v>0</v>
      </c>
      <c r="I104" s="95">
        <f t="shared" si="17"/>
        <v>0</v>
      </c>
      <c r="J104" s="95">
        <f t="shared" si="17"/>
        <v>0</v>
      </c>
      <c r="K104" s="95">
        <f t="shared" si="17"/>
        <v>0</v>
      </c>
      <c r="L104" s="95">
        <f>SUM(L95:L103)</f>
        <v>0</v>
      </c>
      <c r="M104" s="95">
        <f t="shared" si="17"/>
        <v>0</v>
      </c>
      <c r="N104" s="95">
        <f t="shared" si="17"/>
        <v>0</v>
      </c>
      <c r="O104" s="95">
        <f t="shared" si="17"/>
        <v>0</v>
      </c>
      <c r="P104" s="95">
        <f t="shared" si="17"/>
        <v>0</v>
      </c>
      <c r="Q104" s="95">
        <f t="shared" si="17"/>
        <v>0</v>
      </c>
      <c r="R104" s="95">
        <f t="shared" si="17"/>
        <v>0</v>
      </c>
      <c r="S104" s="95">
        <f t="shared" si="17"/>
        <v>0</v>
      </c>
      <c r="T104" s="222">
        <f t="shared" si="16"/>
        <v>0</v>
      </c>
      <c r="U104" s="105"/>
      <c r="V104" s="105"/>
    </row>
    <row r="105" spans="1:22" s="96" customFormat="1" ht="14.25">
      <c r="A105" s="97" t="s">
        <v>237</v>
      </c>
      <c r="B105" s="95">
        <v>0</v>
      </c>
      <c r="C105" s="95">
        <v>0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f>SUM(0)</f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222">
        <f t="shared" si="16"/>
        <v>0</v>
      </c>
      <c r="U105" s="105"/>
      <c r="V105" s="105"/>
    </row>
    <row r="106" spans="1:22" s="96" customFormat="1" ht="14.25">
      <c r="A106" s="101">
        <v>550</v>
      </c>
      <c r="B106" s="95"/>
      <c r="C106" s="95"/>
      <c r="D106" s="95"/>
      <c r="E106" s="95"/>
      <c r="F106" s="95"/>
      <c r="G106" s="95">
        <v>0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222"/>
      <c r="U106" s="105"/>
      <c r="V106" s="105"/>
    </row>
    <row r="107" spans="1:22" s="96" customFormat="1" ht="14.25">
      <c r="A107" s="102">
        <v>554</v>
      </c>
      <c r="B107" s="95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/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222">
        <f t="shared" si="16"/>
        <v>0</v>
      </c>
      <c r="U107" s="105"/>
      <c r="V107" s="105"/>
    </row>
    <row r="108" spans="1:22" s="96" customFormat="1" ht="14.25">
      <c r="A108" s="97" t="s">
        <v>236</v>
      </c>
      <c r="B108" s="95">
        <f>SUM(B107)</f>
        <v>0</v>
      </c>
      <c r="C108" s="95">
        <f aca="true" t="shared" si="18" ref="C108:R108">SUM(C107)</f>
        <v>0</v>
      </c>
      <c r="D108" s="95">
        <f t="shared" si="18"/>
        <v>0</v>
      </c>
      <c r="E108" s="95">
        <f t="shared" si="18"/>
        <v>0</v>
      </c>
      <c r="F108" s="95">
        <v>0</v>
      </c>
      <c r="G108" s="95">
        <f t="shared" si="18"/>
        <v>0</v>
      </c>
      <c r="H108" s="95">
        <v>0</v>
      </c>
      <c r="I108" s="95">
        <f>SUM(I107)</f>
        <v>0</v>
      </c>
      <c r="J108" s="95">
        <f t="shared" si="18"/>
        <v>0</v>
      </c>
      <c r="K108" s="95">
        <f t="shared" si="18"/>
        <v>0</v>
      </c>
      <c r="L108" s="95">
        <f>SUM(L107)</f>
        <v>0</v>
      </c>
      <c r="M108" s="95">
        <f t="shared" si="18"/>
        <v>0</v>
      </c>
      <c r="N108" s="95">
        <f t="shared" si="18"/>
        <v>0</v>
      </c>
      <c r="O108" s="95">
        <f t="shared" si="18"/>
        <v>0</v>
      </c>
      <c r="P108" s="95">
        <f t="shared" si="18"/>
        <v>0</v>
      </c>
      <c r="Q108" s="95">
        <f t="shared" si="18"/>
        <v>0</v>
      </c>
      <c r="R108" s="95">
        <f t="shared" si="18"/>
        <v>0</v>
      </c>
      <c r="S108" s="95">
        <v>0</v>
      </c>
      <c r="T108" s="222">
        <f>SUM(B108:S108)</f>
        <v>0</v>
      </c>
      <c r="U108" s="105"/>
      <c r="V108" s="105"/>
    </row>
    <row r="109" spans="1:22" s="96" customFormat="1" ht="14.25">
      <c r="A109" s="97" t="s">
        <v>237</v>
      </c>
      <c r="B109" s="95">
        <v>0</v>
      </c>
      <c r="C109" s="95">
        <v>0</v>
      </c>
      <c r="D109" s="95">
        <v>0</v>
      </c>
      <c r="E109" s="95">
        <v>0</v>
      </c>
      <c r="F109" s="95">
        <v>0</v>
      </c>
      <c r="G109" s="95">
        <v>0</v>
      </c>
      <c r="H109" s="95"/>
      <c r="I109" s="95">
        <v>0</v>
      </c>
      <c r="J109" s="95">
        <v>0</v>
      </c>
      <c r="K109" s="95">
        <v>0</v>
      </c>
      <c r="L109" s="95">
        <f>SUM(0)</f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222">
        <f>SUM(B109:S109)</f>
        <v>0</v>
      </c>
      <c r="U109" s="105"/>
      <c r="V109" s="105"/>
    </row>
    <row r="110" spans="1:23" s="96" customFormat="1" ht="14.25">
      <c r="A110" s="97" t="s">
        <v>236</v>
      </c>
      <c r="B110" s="95">
        <f>SUM(B104+B92+B71+B67+B60+B50+B37+B23+B18+B10+B108+B28)</f>
        <v>363436.73</v>
      </c>
      <c r="C110" s="95">
        <f>SUM(C104+C92+C71+C67+C60+C50+C37+C23+C18+D10+C108+C28)</f>
        <v>105400</v>
      </c>
      <c r="D110" s="95">
        <f>SUM(D104+D92+D71+D67+D60+D50+D37+D23+D18+E10+D108+D28)</f>
        <v>91400</v>
      </c>
      <c r="E110" s="95">
        <f aca="true" t="shared" si="19" ref="E110:K110">SUM(E104+E92+E71+E67+E60+E50+E37+E23+E18+E10+E108+E28)</f>
        <v>0</v>
      </c>
      <c r="F110" s="95">
        <f t="shared" si="19"/>
        <v>24170</v>
      </c>
      <c r="G110" s="95">
        <f t="shared" si="19"/>
        <v>186310.4</v>
      </c>
      <c r="H110" s="95">
        <f t="shared" si="19"/>
        <v>0</v>
      </c>
      <c r="I110" s="95">
        <f t="shared" si="19"/>
        <v>0</v>
      </c>
      <c r="J110" s="95">
        <f t="shared" si="19"/>
        <v>34460</v>
      </c>
      <c r="K110" s="95">
        <f t="shared" si="19"/>
        <v>0</v>
      </c>
      <c r="L110" s="95">
        <f>SUM(L10+L18+L28+L37+L50+L59+L67+L71+L92+L104+L108)</f>
        <v>24570.4</v>
      </c>
      <c r="M110" s="95">
        <f aca="true" t="shared" si="20" ref="M110:R110">SUM(M104+M92+M71+M67+M60+M50+M37+M23+M18+M10+M108+M28)</f>
        <v>0</v>
      </c>
      <c r="N110" s="95">
        <f t="shared" si="20"/>
        <v>100000</v>
      </c>
      <c r="O110" s="95">
        <f t="shared" si="20"/>
        <v>0</v>
      </c>
      <c r="P110" s="95">
        <f t="shared" si="20"/>
        <v>0</v>
      </c>
      <c r="Q110" s="95">
        <f t="shared" si="20"/>
        <v>35800</v>
      </c>
      <c r="R110" s="95">
        <f t="shared" si="20"/>
        <v>0</v>
      </c>
      <c r="S110" s="95">
        <f>SUM(S10+S18+S23+S28+S37+S50+S60+S67+S71+S92+S104)</f>
        <v>65364</v>
      </c>
      <c r="T110" s="222">
        <f>SUM(B110:S110)</f>
        <v>1030911.53</v>
      </c>
      <c r="U110" s="105"/>
      <c r="V110" s="105"/>
      <c r="W110" s="221"/>
    </row>
    <row r="111" spans="1:23" s="96" customFormat="1" ht="14.25">
      <c r="A111" s="97" t="s">
        <v>237</v>
      </c>
      <c r="B111" s="95">
        <f>SUM(B105+B93+B72+B68+B61+B51+B38+B24+B19+B11+B109+B29)</f>
        <v>1446548.15</v>
      </c>
      <c r="C111" s="95">
        <f>SUM(C105+C93+C72+C68+C61+C51+C38+C24+C19+C11+C109+C29)</f>
        <v>441012</v>
      </c>
      <c r="D111" s="95">
        <f>SUM(D105+D93+D72+D68+D61+D51+D38+D24+D19+D11+D109+D29)</f>
        <v>91400</v>
      </c>
      <c r="E111" s="95">
        <f>SUM(E105+E93+E72+E68+E61+E51+E38+E24+E19+E11+E109+E29)</f>
        <v>0</v>
      </c>
      <c r="F111" s="95">
        <f>SUM(F105+F93+F72+F68+F61+F51+F38+F24+F19+F11+F109+F29)</f>
        <v>99770</v>
      </c>
      <c r="G111" s="95">
        <f>SUM(G72+G38+G29+G24+G19+G11+G51+G105+G61+G68+G93+G109)</f>
        <v>1221004.4</v>
      </c>
      <c r="H111" s="95">
        <f>SUM(H105+H93+H72+H68+H61+H51+H38+H24+H19+H11+H109+H29)</f>
        <v>0</v>
      </c>
      <c r="I111" s="95">
        <f>SUM(I11+I19+I24+I29+I38+I51+I61+I68+I72+I93+I105+I109)</f>
        <v>0</v>
      </c>
      <c r="J111" s="95">
        <f>SUM(J105+J93+J72+J68+J61+J51+J38+J24+J19+J11+J109+J29)</f>
        <v>151312</v>
      </c>
      <c r="K111" s="95">
        <f>SUM(K105+K93+K72+K68+K61+K51+K38+K24+K19+K11+K109+K29)</f>
        <v>0</v>
      </c>
      <c r="L111" s="95">
        <f>SUM(L11+L19+L24+L29+L38+L51+L61+L68+L72+L92+L105+L109)</f>
        <v>99760.58</v>
      </c>
      <c r="M111" s="95">
        <f>SUM(M105+M93+M72+M68+M61+M51+M38+M24+M19+M11+M109+M29)</f>
        <v>0</v>
      </c>
      <c r="N111" s="95">
        <f>SUM(N105+N93+N72+N68+N61+N51+N38+N24+N19+N11+N109+N29)</f>
        <v>177470</v>
      </c>
      <c r="O111" s="95">
        <f>SUM(O105+O93+O72+O68+O61+O51+O38+O29+O24+O19+O11)</f>
        <v>226550</v>
      </c>
      <c r="P111" s="95">
        <f>SUM(P105+P93+P72+P68+P61+P51+P38+P24+P19+P11+P109+P29)</f>
        <v>0</v>
      </c>
      <c r="Q111" s="95">
        <f>SUM(Q105+Q93+Q72+Q68+Q61+Q51+Q38+Q24+Q19+Q11+Q109+Q29)</f>
        <v>90030</v>
      </c>
      <c r="R111" s="95">
        <f>SUM(R105+R93+R72+R68+R61+R51+R38+R24+R19+R11+R109+R29)</f>
        <v>0</v>
      </c>
      <c r="S111" s="95">
        <f>SUM(S11+S19+S24+S29+S38+S51+S61+S68+S72+S93+S105)</f>
        <v>203364</v>
      </c>
      <c r="T111" s="222">
        <f>SUM(B111:S111)</f>
        <v>4248221.13</v>
      </c>
      <c r="U111" s="105"/>
      <c r="V111" s="105"/>
      <c r="W111" s="221"/>
    </row>
    <row r="112" spans="1:18" ht="16.5">
      <c r="A112" s="252"/>
      <c r="B112" s="252"/>
      <c r="C112" s="252"/>
      <c r="D112" s="14"/>
      <c r="N112" s="252"/>
      <c r="O112" s="252"/>
      <c r="P112" s="252"/>
      <c r="Q112" s="252"/>
      <c r="R112" s="252"/>
    </row>
  </sheetData>
  <sheetProtection/>
  <mergeCells count="31">
    <mergeCell ref="J43:K43"/>
    <mergeCell ref="F80:G80"/>
    <mergeCell ref="A112:C112"/>
    <mergeCell ref="N112:R112"/>
    <mergeCell ref="A79:T79"/>
    <mergeCell ref="B80:C80"/>
    <mergeCell ref="F43:G43"/>
    <mergeCell ref="D80:E80"/>
    <mergeCell ref="B43:C43"/>
    <mergeCell ref="J80:K80"/>
    <mergeCell ref="N80:O80"/>
    <mergeCell ref="L80:M80"/>
    <mergeCell ref="N43:O43"/>
    <mergeCell ref="L43:M43"/>
    <mergeCell ref="J4:K4"/>
    <mergeCell ref="Q4:R4"/>
    <mergeCell ref="L4:M4"/>
    <mergeCell ref="N4:O4"/>
    <mergeCell ref="F4:G4"/>
    <mergeCell ref="A42:T42"/>
    <mergeCell ref="T43:T44"/>
    <mergeCell ref="T80:T81"/>
    <mergeCell ref="Q80:R80"/>
    <mergeCell ref="D43:E43"/>
    <mergeCell ref="Q43:R43"/>
    <mergeCell ref="A1:T1"/>
    <mergeCell ref="A2:T2"/>
    <mergeCell ref="A3:T3"/>
    <mergeCell ref="B4:C4"/>
    <mergeCell ref="D4:E4"/>
    <mergeCell ref="T4:T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2006-01-21T07:46:34Z</cp:lastPrinted>
  <dcterms:created xsi:type="dcterms:W3CDTF">2004-02-04T07:28:13Z</dcterms:created>
  <dcterms:modified xsi:type="dcterms:W3CDTF">2014-06-13T05:28:09Z</dcterms:modified>
  <cp:category/>
  <cp:version/>
  <cp:contentType/>
  <cp:contentStatus/>
</cp:coreProperties>
</file>