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622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<sst xmlns="http://schemas.openxmlformats.org/spreadsheetml/2006/main" count="564" uniqueCount="361">
  <si>
    <t>เงินอุดหนุนเฉพาะกิจ (ค่าใช้สอย)</t>
  </si>
  <si>
    <t>7250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</si>
  <si>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</si>
  <si>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</si>
  <si>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</si>
  <si>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</si>
  <si>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</si>
  <si>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</si>
  <si>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</si>
  <si>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</si>
  <si>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</si>
  <si>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</si>
  <si>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</si>
  <si>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</si>
  <si>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</si>
  <si>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</si>
  <si>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</si>
  <si>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</si>
  <si>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</si>
  <si>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</si>
  <si>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</si>
  <si>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</si>
  <si>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</si>
  <si>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</si>
  <si>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</si>
  <si>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</si>
  <si>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</si>
  <si>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</si>
  <si>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</si>
  <si>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</si>
  <si>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</si>
  <si>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</si>
  <si>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</si>
  <si>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</si>
  <si>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</si>
  <si>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</si>
  <si>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</si>
  <si>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</si>
  <si>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</si>
  <si>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</si>
  <si>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</si>
  <si>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</si>
  <si>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</si>
  <si>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</si>
  <si>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</si>
  <si>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</si>
  <si>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</si>
  <si>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</si>
  <si>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</si>
  <si>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</si>
  <si>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</si>
  <si>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</si>
  <si>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</si>
  <si>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</si>
  <si>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</si>
  <si>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</si>
  <si>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</si>
  <si>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</si>
  <si>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</si>
  <si>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</si>
  <si>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</si>
  <si>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</si>
  <si>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</si>
  <si>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</si>
  <si>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</si>
  <si>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</si>
  <si>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</si>
  <si>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</si>
  <si>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</si>
  <si>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</si>
  <si>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</si>
  <si>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</si>
  <si>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</si>
  <si>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</si>
  <si>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</si>
  <si>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</si>
  <si>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</si>
  <si>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</si>
  <si>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</si>
  <si>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</si>
  <si>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</si>
  <si>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</si>
  <si>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</si>
  <si>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</si>
  <si>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</si>
  <si>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</si>
  <si>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</si>
  <si>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</si>
  <si>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</si>
  <si>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</si>
  <si>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</si>
  <si>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</si>
  <si>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</si>
  <si>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</si>
  <si>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</si>
  <si>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</si>
  <si>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</si>
  <si>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</si>
  <si>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</si>
  <si>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</si>
  <si>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</si>
  <si>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</si>
  <si>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</si>
  <si>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</si>
  <si>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</si>
  <si>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</si>
  <si>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</si>
  <si>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</si>
  <si>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</si>
  <si>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</si>
  <si>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</si>
  <si>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</si>
  <si>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</si>
  <si>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</si>
  <si>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</si>
  <si>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</si>
  <si>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</si>
  <si>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</si>
  <si>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</si>
  <si>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</si>
  <si>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</si>
  <si>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</si>
  <si>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</si>
  <si>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</si>
  <si>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</si>
  <si>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</si>
  <si>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</si>
  <si>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</si>
  <si>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</si>
  <si>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</si>
  <si>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</si>
  <si>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</si>
  <si>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</si>
  <si>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</si>
  <si>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</si>
  <si>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</si>
  <si>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</si>
  <si>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</si>
  <si>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</si>
  <si>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</si>
  <si>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</si>
  <si>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</si>
  <si>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</si>
  <si>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</si>
  <si>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</si>
  <si>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</si>
  <si>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</si>
  <si>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</si>
  <si>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</si>
  <si>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</si>
  <si>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</si>
  <si>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</si>
  <si>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</si>
  <si>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</si>
  <si>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</si>
  <si>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</si>
  <si>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</si>
  <si>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</si>
  <si>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</si>
  <si>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</si>
  <si>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</si>
  <si>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</si>
  <si>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</si>
  <si>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</si>
  <si>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</si>
  <si>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</si>
  <si>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</si>
  <si>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</si>
  <si>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</si>
  <si>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</si>
  <si>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</si>
  <si>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</si>
  <si>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</si>
  <si>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</si>
  <si>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</si>
  <si>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</si>
  <si>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</si>
  <si>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</si>
  <si>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</si>
  <si>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</si>
  <si>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</si>
  <si>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</si>
  <si>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</si>
  <si>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</si>
  <si>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</si>
  <si>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</si>
  <si>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</si>
  <si>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</si>
  <si>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</si>
  <si>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</si>
  <si>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</si>
  <si>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</si>
  <si>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</si>
  <si>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</si>
  <si>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</si>
  <si>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</si>
  <si>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</si>
  <si>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</si>
  <si>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</si>
  <si>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</si>
  <si>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</si>
  <si>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</si>
  <si>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</si>
  <si>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</si>
  <si>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</si>
  <si>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</si>
  <si>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</si>
  <si>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</si>
  <si>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</si>
  <si>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</si>
  <si>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</si>
  <si>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</si>
  <si>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</si>
  <si>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</si>
  <si>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</si>
  <si>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</si>
  <si>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</si>
  <si>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</si>
  <si>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</si>
  <si>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</si>
  <si>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</si>
  <si>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</si>
  <si>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</si>
  <si>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</si>
  <si>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</si>
  <si>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</si>
  <si>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</si>
  <si>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</si>
  <si>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</si>
  <si>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</si>
  <si>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</si>
  <si>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</si>
  <si>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</si>
  <si>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</si>
  <si>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</si>
  <si>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</si>
  <si>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</si>
  <si>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</si>
  <si>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</si>
  <si>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</si>
  <si>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</si>
  <si>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</si>
  <si>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</si>
  <si>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</si>
  <si>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</si>
  <si>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</si>
  <si>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</si>
  <si>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</si>
  <si>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</si>
  <si>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</si>
  <si>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</si>
  <si>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</si>
  <si>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</si>
  <si>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</si>
  <si>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</si>
  <si>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</si>
  <si>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</si>
  <si>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</si>
  <si>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</si>
  <si>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</si>
  <si>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</si>
  <si>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</si>
  <si>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</si>
  <si>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</si>
  <si>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</si>
  <si>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</si>
  <si>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</si>
  <si>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</si>
  <si>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</si>
  <si>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</si>
  <si>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</si>
  <si>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</si>
  <si>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</si>
  <si>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</si>
  <si>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</si>
  <si>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</si>
  <si>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</si>
  <si>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</si>
  <si>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</si>
  <si>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</si>
  <si>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</si>
  <si>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</si>
  <si>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</si>
  <si>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</si>
  <si>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</si>
  <si>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ธนาคารเพื่อการเกษตรและสหกรณ์การเกษตร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</si>
  <si>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</si>
  <si>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</si>
  <si>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</si>
  <si>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</si>
  <si>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</si>
  <si>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</si>
  <si>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</si>
  <si>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</si>
  <si>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</si>
  <si>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</si>
  <si>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</si>
  <si>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</si>
  <si>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</si>
  <si>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</si>
  <si>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</si>
  <si>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</si>
  <si>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</si>
  <si>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เลขที่บัญชี  316-0-00650-6</t>
  </si>
  <si>
    <t xml:space="preserve"> -ภาษีมูลค่าเพิ่ม </t>
  </si>
  <si>
    <t xml:space="preserve"> -ค่าใบอนุญาตอื่น ๆ</t>
  </si>
  <si>
    <t>0148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</si>
  <si>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</si>
  <si>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</si>
  <si>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</si>
  <si>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</si>
  <si>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</si>
  <si>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</si>
  <si>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</si>
  <si>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</si>
  <si>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</si>
  <si>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</si>
  <si>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</si>
  <si>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</si>
  <si>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</si>
  <si>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</si>
  <si>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</si>
  <si>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</si>
  <si>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ตำแหน่ง ผู้อำนวยการกองคลัง</t>
  </si>
  <si>
    <t xml:space="preserve">           ตำแหน่ง  ผู้อำนวยการกองคลัง</t>
  </si>
  <si>
    <t xml:space="preserve">          ตำแหน่ง เจ้าพนักงานการเงินและบัญชี</t>
  </si>
  <si>
    <t>เลขที่บัญชี  01-340-2-48197-3</t>
  </si>
  <si>
    <t>รายละเอียด  (หัก)  ดอกเบี้ยเงินฝากยังไม่บันทึกบัญชี</t>
  </si>
  <si>
    <t>เลขที่บัญชี  01-340-2-58453-3</t>
  </si>
  <si>
    <t>ที่ดินและสิ่งก่อสร้าง / อาคารศูนย์พัฒนาเด็กเล็กตำบลโคกตูม</t>
  </si>
  <si>
    <t>เงินอุดหนุนเฉพาะกิจ (ค่าจ้างชั่วคราว)</t>
  </si>
  <si>
    <t>7130</t>
  </si>
  <si>
    <t xml:space="preserve"> -เงินอุดหนุนเฉพาะกิจตามโครงการบำบัดและฟื้นฟูผู้ติดยาเสพติด</t>
  </si>
  <si>
    <t xml:space="preserve"> -เงินอุดหนุนเฉพาะกิจโครงการสร้างหลักประกันรายได้ผู้สูงอายุ</t>
  </si>
  <si>
    <t xml:space="preserve"> -เงินอุดหนุนเฉพาะกิจโครงการสร้างหลักประกันรายได้ผู้พิการ</t>
  </si>
  <si>
    <t xml:space="preserve"> - เงินอุดหนุนเฉพาะกิจสำหรับศูนย์พัฒนาเด็กเล็ก</t>
  </si>
  <si>
    <t xml:space="preserve"> - เงินอุดหนุนเฉพาะกิจสนับสนุนครุภัณฑ์การศึกษาศูนย์พัฒนาเด็กเล็ก</t>
  </si>
  <si>
    <t>บัญชีครุภัณฑ์</t>
  </si>
  <si>
    <t>รายละเอียด  (หัก)  เช็คที่อนุมัติแล้วผู้มีสิทธิยังไม่มารับ</t>
  </si>
  <si>
    <t>เงินอุดหนุนเฉพาะกิจ (ครุภัณฑ์)</t>
  </si>
  <si>
    <t>7450</t>
  </si>
  <si>
    <t>เรื่อง  รายงานแสดงรายรับรายจ่ายและงบทดลอง  ประจำเดือนกรกฎาคม  2556</t>
  </si>
  <si>
    <t>ประจำเดือนกรกฎาคม พ.ศ. 2556 ตามที่แนบท้ายประกาศนี้</t>
  </si>
  <si>
    <t xml:space="preserve">       ณ  วันที่ 31  กรกฎาคม  พ.ศ.  2556</t>
  </si>
  <si>
    <t>บัญชีเงินรายรับ  (หมายเหตุ 1)  ณ  วันที่ 31  กรกฎาคม  พ.ศ. 2556</t>
  </si>
  <si>
    <t>บัญชีเงินรับฝาก  (หมายเหตุ 2)  ณ  วันที่ 31  กรกฎาคม พ.ศ. 2556</t>
  </si>
  <si>
    <t>บัญชีรายจ่ายค้างจ่าย   (หมายเหตุ3)   ณ  วันที่  31  กรกฎาคม  พ.ศ. 2556</t>
  </si>
  <si>
    <t>ยอดคงเหลือตามรายงานธนาคาร ณ วันที่  31  กรกฎาคม  2556</t>
  </si>
  <si>
    <t>ยอดคงเหลือตามบัญชี ณ วันที่  31  กรกฎาคม  2556</t>
  </si>
  <si>
    <t>วันที่  31  กรกฎาคม  2556</t>
  </si>
  <si>
    <t>ยอดคงเหลือตามบัญชี ณ วันที่ วันที่  31  กรกฎาคม  2556</t>
  </si>
  <si>
    <t>ยอดคงเหลือตามบัญชี ณ วันที่  31   กรกฎาคม  2556</t>
  </si>
  <si>
    <t>ประจำเดือน กรกฎาคม  2556</t>
  </si>
  <si>
    <t>ประจำเดือนกรกฎาคม  2556</t>
  </si>
  <si>
    <t xml:space="preserve"> 31 กรกฎาคม 2556</t>
  </si>
  <si>
    <t>0115455</t>
  </si>
  <si>
    <t>0115456</t>
  </si>
  <si>
    <t>0115457</t>
  </si>
  <si>
    <t xml:space="preserve">          ตำแหน่ง นักวิชาการเงินและบัญชี</t>
  </si>
  <si>
    <t>0115454</t>
  </si>
  <si>
    <t>ประกาศ  ณ  วันที่     2      สิงหาคม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</si>
</sst>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59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3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3"/>
      <color theme="0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4" borderId="5" applyNumberFormat="0" applyAlignment="0" applyProtection="0"/>
    <xf numFmtId="0" fontId="0" fillId="25" borderId="6" applyNumberFormat="0" applyFont="0" applyAlignment="0" applyProtection="0"/>
    <xf numFmtId="0" fontId="13" fillId="26" borderId="0" applyNumberFormat="0" applyBorder="0" applyAlignment="0" applyProtection="0"/>
    <xf numFmtId="0" fontId="0" fillId="26" borderId="7" applyNumberFormat="0" applyFont="0" applyAlignment="0" applyProtection="0"/>
    <xf numFmtId="0" fontId="16" fillId="27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28" borderId="10" applyNumberFormat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8" fillId="29" borderId="11" applyNumberFormat="0" applyAlignment="0" applyProtection="0"/>
    <xf numFmtId="0" fontId="39" fillId="0" borderId="12" applyNumberFormat="0" applyFill="0" applyAlignment="0" applyProtection="0"/>
    <xf numFmtId="0" fontId="40" fillId="4" borderId="0" applyNumberFormat="0" applyBorder="0" applyAlignment="0" applyProtection="0"/>
    <xf numFmtId="0" fontId="41" fillId="30" borderId="10" applyNumberFormat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3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45" fillId="28" borderId="14" applyNumberFormat="0" applyAlignment="0" applyProtection="0"/>
    <xf numFmtId="0" fontId="0" fillId="38" borderId="7" applyNumberFormat="0" applyFont="0" applyAlignment="0" applyProtection="0"/>
    <xf numFmtId="0" fontId="46" fillId="0" borderId="15" applyNumberFormat="0" applyFill="0" applyAlignment="0" applyProtection="0"/>
    <xf numFmtId="0" fontId="47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18" xfId="57" applyFont="1" applyBorder="1" applyAlignment="1">
      <alignment/>
    </xf>
    <xf numFmtId="43" fontId="1" fillId="0" borderId="17" xfId="57" applyFont="1" applyBorder="1" applyAlignment="1">
      <alignment/>
    </xf>
    <xf numFmtId="43" fontId="1" fillId="0" borderId="17" xfId="57" applyFont="1" applyBorder="1" applyAlignment="1">
      <alignment horizontal="right"/>
    </xf>
    <xf numFmtId="43" fontId="1" fillId="0" borderId="18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/>
    </xf>
    <xf numFmtId="43" fontId="6" fillId="0" borderId="19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18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/>
    </xf>
    <xf numFmtId="43" fontId="1" fillId="0" borderId="26" xfId="57" applyFont="1" applyBorder="1" applyAlignment="1">
      <alignment horizontal="center"/>
    </xf>
    <xf numFmtId="43" fontId="1" fillId="0" borderId="26" xfId="57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3" fontId="1" fillId="0" borderId="29" xfId="57" applyFont="1" applyBorder="1" applyAlignment="1">
      <alignment/>
    </xf>
    <xf numFmtId="15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3" fontId="1" fillId="0" borderId="28" xfId="57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43" fontId="6" fillId="0" borderId="0" xfId="57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19" xfId="57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23" xfId="57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7" xfId="57" applyFont="1" applyBorder="1" applyAlignment="1">
      <alignment horizontal="center"/>
    </xf>
    <xf numFmtId="0" fontId="25" fillId="0" borderId="17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43" fontId="2" fillId="0" borderId="17" xfId="57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17" xfId="0" applyFont="1" applyBorder="1" applyAlignment="1">
      <alignment/>
    </xf>
    <xf numFmtId="43" fontId="2" fillId="0" borderId="17" xfId="57" applyFont="1" applyBorder="1" applyAlignment="1" quotePrefix="1">
      <alignment horizontal="center"/>
    </xf>
    <xf numFmtId="0" fontId="25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32" xfId="0" applyFont="1" applyBorder="1" applyAlignment="1" quotePrefix="1">
      <alignment horizontal="center"/>
    </xf>
    <xf numFmtId="0" fontId="19" fillId="0" borderId="33" xfId="0" applyFont="1" applyBorder="1" applyAlignment="1" quotePrefix="1">
      <alignment horizontal="center"/>
    </xf>
    <xf numFmtId="0" fontId="6" fillId="0" borderId="23" xfId="0" applyFont="1" applyBorder="1" applyAlignment="1">
      <alignment horizontal="left"/>
    </xf>
    <xf numFmtId="0" fontId="19" fillId="0" borderId="17" xfId="0" applyFont="1" applyBorder="1" applyAlignment="1" quotePrefix="1">
      <alignment horizontal="center"/>
    </xf>
    <xf numFmtId="0" fontId="19" fillId="0" borderId="17" xfId="0" applyFont="1" applyBorder="1" applyAlignment="1" quotePrefix="1">
      <alignment horizontal="left"/>
    </xf>
    <xf numFmtId="43" fontId="19" fillId="0" borderId="17" xfId="57" applyFont="1" applyBorder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43" fontId="26" fillId="0" borderId="21" xfId="57" applyFont="1" applyBorder="1" applyAlignment="1">
      <alignment/>
    </xf>
    <xf numFmtId="43" fontId="1" fillId="0" borderId="34" xfId="57" applyFont="1" applyBorder="1" applyAlignment="1">
      <alignment/>
    </xf>
    <xf numFmtId="43" fontId="19" fillId="0" borderId="0" xfId="57" applyFont="1" applyAlignment="1">
      <alignment/>
    </xf>
    <xf numFmtId="43" fontId="2" fillId="0" borderId="18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28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7" xfId="0" applyFont="1" applyBorder="1" applyAlignment="1">
      <alignment horizontal="center" vertical="center"/>
    </xf>
    <xf numFmtId="43" fontId="26" fillId="0" borderId="17" xfId="57" applyFont="1" applyBorder="1" applyAlignment="1">
      <alignment horizontal="center" vertical="center"/>
    </xf>
    <xf numFmtId="0" fontId="26" fillId="0" borderId="22" xfId="0" applyFont="1" applyBorder="1" applyAlignment="1">
      <alignment horizontal="left"/>
    </xf>
    <xf numFmtId="0" fontId="26" fillId="0" borderId="21" xfId="0" applyFont="1" applyBorder="1" applyAlignment="1" quotePrefix="1">
      <alignment horizontal="center"/>
    </xf>
    <xf numFmtId="43" fontId="26" fillId="0" borderId="22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18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7" xfId="57" applyFont="1" applyBorder="1" applyAlignment="1">
      <alignment horizontal="center"/>
    </xf>
    <xf numFmtId="0" fontId="2" fillId="0" borderId="18" xfId="0" applyFont="1" applyBorder="1" applyAlignment="1">
      <alignment/>
    </xf>
    <xf numFmtId="43" fontId="2" fillId="0" borderId="35" xfId="57" applyFont="1" applyBorder="1" applyAlignment="1">
      <alignment/>
    </xf>
    <xf numFmtId="15" fontId="1" fillId="0" borderId="22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6" xfId="0" applyFont="1" applyBorder="1" applyAlignment="1">
      <alignment horizontal="center"/>
    </xf>
    <xf numFmtId="49" fontId="26" fillId="0" borderId="37" xfId="0" applyNumberFormat="1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43" fontId="26" fillId="0" borderId="22" xfId="57" applyFont="1" applyBorder="1" applyAlignment="1">
      <alignment horizontal="center"/>
    </xf>
    <xf numFmtId="0" fontId="29" fillId="0" borderId="36" xfId="0" applyFont="1" applyBorder="1" applyAlignment="1">
      <alignment/>
    </xf>
    <xf numFmtId="43" fontId="26" fillId="0" borderId="37" xfId="57" applyFont="1" applyBorder="1" applyAlignment="1">
      <alignment horizontal="center"/>
    </xf>
    <xf numFmtId="0" fontId="30" fillId="0" borderId="22" xfId="0" applyFont="1" applyBorder="1" applyAlignment="1">
      <alignment/>
    </xf>
    <xf numFmtId="43" fontId="26" fillId="0" borderId="21" xfId="57" applyFont="1" applyBorder="1" applyAlignment="1">
      <alignment horizontal="center"/>
    </xf>
    <xf numFmtId="0" fontId="29" fillId="0" borderId="22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0" xfId="57" applyFont="1" applyBorder="1" applyAlignment="1">
      <alignment horizontal="center"/>
    </xf>
    <xf numFmtId="43" fontId="26" fillId="0" borderId="23" xfId="57" applyFont="1" applyBorder="1" applyAlignment="1">
      <alignment horizontal="center"/>
    </xf>
    <xf numFmtId="43" fontId="26" fillId="0" borderId="41" xfId="57" applyFont="1" applyBorder="1" applyAlignment="1">
      <alignment horizontal="center"/>
    </xf>
    <xf numFmtId="43" fontId="26" fillId="0" borderId="18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6" xfId="57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26" xfId="0" applyFont="1" applyBorder="1" applyAlignment="1">
      <alignment/>
    </xf>
    <xf numFmtId="43" fontId="26" fillId="0" borderId="4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3" fontId="26" fillId="0" borderId="17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43" fontId="26" fillId="0" borderId="26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3" xfId="57" applyFont="1" applyBorder="1" applyAlignment="1">
      <alignment horizontal="center"/>
    </xf>
    <xf numFmtId="43" fontId="26" fillId="0" borderId="33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15" fontId="1" fillId="0" borderId="0" xfId="0" applyNumberFormat="1" applyFont="1" applyBorder="1" applyAlignment="1">
      <alignment horizontal="center"/>
    </xf>
    <xf numFmtId="0" fontId="1" fillId="0" borderId="44" xfId="0" applyFont="1" applyBorder="1" applyAlignment="1" quotePrefix="1">
      <alignment horizontal="center"/>
    </xf>
    <xf numFmtId="43" fontId="1" fillId="0" borderId="45" xfId="57" applyFont="1" applyBorder="1" applyAlignment="1">
      <alignment/>
    </xf>
    <xf numFmtId="15" fontId="1" fillId="0" borderId="4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1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3" xfId="0" applyFont="1" applyBorder="1" applyAlignment="1">
      <alignment/>
    </xf>
    <xf numFmtId="0" fontId="26" fillId="0" borderId="43" xfId="0" applyFont="1" applyBorder="1" applyAlignment="1">
      <alignment/>
    </xf>
    <xf numFmtId="0" fontId="2" fillId="0" borderId="22" xfId="0" applyFont="1" applyBorder="1" applyAlignment="1">
      <alignment/>
    </xf>
    <xf numFmtId="59" fontId="1" fillId="0" borderId="45" xfId="0" applyNumberFormat="1" applyFont="1" applyBorder="1" applyAlignment="1" quotePrefix="1">
      <alignment horizontal="center"/>
    </xf>
    <xf numFmtId="43" fontId="29" fillId="0" borderId="47" xfId="57" applyFont="1" applyBorder="1" applyAlignment="1">
      <alignment/>
    </xf>
    <xf numFmtId="43" fontId="33" fillId="0" borderId="22" xfId="57" applyFont="1" applyBorder="1" applyAlignment="1">
      <alignment shrinkToFit="1"/>
    </xf>
    <xf numFmtId="43" fontId="34" fillId="0" borderId="22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43" fontId="6" fillId="0" borderId="25" xfId="57" applyFont="1" applyBorder="1" applyAlignment="1">
      <alignment/>
    </xf>
    <xf numFmtId="0" fontId="6" fillId="0" borderId="25" xfId="0" applyFont="1" applyBorder="1" applyAlignment="1">
      <alignment/>
    </xf>
    <xf numFmtId="43" fontId="6" fillId="0" borderId="26" xfId="57" applyFont="1" applyBorder="1" applyAlignment="1">
      <alignment/>
    </xf>
    <xf numFmtId="43" fontId="6" fillId="0" borderId="21" xfId="57" applyFont="1" applyBorder="1" applyAlignment="1">
      <alignment horizontal="right"/>
    </xf>
    <xf numFmtId="43" fontId="6" fillId="0" borderId="22" xfId="57" applyFont="1" applyBorder="1" applyAlignment="1">
      <alignment horizontal="right"/>
    </xf>
    <xf numFmtId="0" fontId="6" fillId="0" borderId="26" xfId="0" applyFont="1" applyBorder="1" applyAlignment="1">
      <alignment/>
    </xf>
    <xf numFmtId="43" fontId="6" fillId="0" borderId="48" xfId="57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7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0" fontId="35" fillId="0" borderId="0" xfId="0" applyFont="1" applyAlignment="1">
      <alignment/>
    </xf>
    <xf numFmtId="43" fontId="2" fillId="0" borderId="26" xfId="57" applyFont="1" applyBorder="1" applyAlignment="1" quotePrefix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3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6" fillId="0" borderId="42" xfId="0" applyFont="1" applyBorder="1" applyAlignment="1" quotePrefix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3" fontId="58" fillId="39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</xdr:row>
      <xdr:rowOff>85725</xdr:rowOff>
    </xdr:from>
    <xdr:to>
      <xdr:col>6</xdr:col>
      <xdr:colOff>457200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005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76200</xdr:rowOff>
    </xdr:from>
    <xdr:to>
      <xdr:col>8</xdr:col>
      <xdr:colOff>400050</xdr:colOff>
      <xdr:row>20</xdr:row>
      <xdr:rowOff>114300</xdr:rowOff>
    </xdr:to>
    <xdr:pic>
      <xdr:nvPicPr>
        <xdr:cNvPr id="2" name="Picture 395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05200" y="427672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3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6.57421875" style="212" customWidth="1"/>
    <col min="2" max="16384" width="9.140625" style="212" customWidth="1"/>
  </cols>
  <sheetData>
    <row r="6" spans="2:11" ht="20.25">
      <c r="B6" s="214" t="s">
        <v>266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2:11" ht="20.25">
      <c r="B7" s="214" t="s">
        <v>341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2:11" ht="20.25">
      <c r="B8" s="214" t="s">
        <v>267</v>
      </c>
      <c r="C8" s="214"/>
      <c r="D8" s="214"/>
      <c r="E8" s="214"/>
      <c r="F8" s="214"/>
      <c r="G8" s="214"/>
      <c r="H8" s="214"/>
      <c r="I8" s="214"/>
      <c r="J8" s="214"/>
      <c r="K8" s="214"/>
    </row>
    <row r="10" ht="20.25">
      <c r="C10" s="212" t="s">
        <v>268</v>
      </c>
    </row>
    <row r="11" ht="20.25">
      <c r="B11" s="212" t="s">
        <v>269</v>
      </c>
    </row>
    <row r="12" ht="20.25">
      <c r="B12" s="212" t="s">
        <v>270</v>
      </c>
    </row>
    <row r="13" ht="20.25">
      <c r="B13" s="212" t="s">
        <v>271</v>
      </c>
    </row>
    <row r="15" ht="20.25">
      <c r="C15" s="212" t="s">
        <v>272</v>
      </c>
    </row>
    <row r="16" ht="20.25">
      <c r="B16" s="212" t="s">
        <v>342</v>
      </c>
    </row>
    <row r="18" ht="20.25">
      <c r="D18" s="212" t="s">
        <v>360</v>
      </c>
    </row>
    <row r="22" spans="6:9" ht="20.25">
      <c r="F22" s="214" t="s">
        <v>197</v>
      </c>
      <c r="G22" s="214"/>
      <c r="H22" s="214"/>
      <c r="I22" s="214"/>
    </row>
    <row r="23" spans="6:9" ht="20.25">
      <c r="F23" s="214" t="s">
        <v>108</v>
      </c>
      <c r="G23" s="214"/>
      <c r="H23" s="214"/>
      <c r="I23" s="214"/>
    </row>
  </sheetData>
  <sheetProtection/>
  <mergeCells count="5">
    <mergeCell ref="F22:I22"/>
    <mergeCell ref="F23:I23"/>
    <mergeCell ref="B6:K6"/>
    <mergeCell ref="B7:K7"/>
    <mergeCell ref="B8:K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37.00390625" style="109" customWidth="1"/>
    <col min="2" max="2" width="7.57421875" style="109" customWidth="1"/>
    <col min="3" max="3" width="20.421875" style="110" customWidth="1"/>
    <col min="4" max="4" width="22.8515625" style="110" customWidth="1"/>
    <col min="5" max="5" width="16.7109375" style="109" customWidth="1"/>
    <col min="6" max="6" width="13.421875" style="110" customWidth="1"/>
    <col min="7" max="7" width="11.8515625" style="109" customWidth="1"/>
    <col min="8" max="8" width="12.8515625" style="109" bestFit="1" customWidth="1"/>
    <col min="9" max="9" width="12.00390625" style="109" bestFit="1" customWidth="1"/>
    <col min="10" max="16384" width="9.140625" style="109" customWidth="1"/>
  </cols>
  <sheetData>
    <row r="1" spans="1:4" ht="18.75">
      <c r="A1" s="216" t="s">
        <v>85</v>
      </c>
      <c r="B1" s="216"/>
      <c r="C1" s="216"/>
      <c r="D1" s="216"/>
    </row>
    <row r="2" spans="1:4" ht="18.75">
      <c r="A2" s="216" t="s">
        <v>114</v>
      </c>
      <c r="B2" s="216"/>
      <c r="C2" s="216"/>
      <c r="D2" s="216"/>
    </row>
    <row r="3" spans="1:4" ht="18.75">
      <c r="A3" s="216" t="s">
        <v>343</v>
      </c>
      <c r="B3" s="216"/>
      <c r="C3" s="216"/>
      <c r="D3" s="216"/>
    </row>
    <row r="4" spans="1:8" ht="18.75">
      <c r="A4" s="111" t="s">
        <v>86</v>
      </c>
      <c r="B4" s="111" t="s">
        <v>87</v>
      </c>
      <c r="C4" s="112" t="s">
        <v>88</v>
      </c>
      <c r="D4" s="112" t="s">
        <v>89</v>
      </c>
      <c r="E4" s="180"/>
      <c r="F4" s="181"/>
      <c r="H4" s="108"/>
    </row>
    <row r="5" spans="1:9" ht="18.75">
      <c r="A5" s="113" t="s">
        <v>90</v>
      </c>
      <c r="B5" s="114" t="s">
        <v>105</v>
      </c>
      <c r="C5" s="102">
        <f>SUM(58819.47-39749-12002.47-57-6311-700)</f>
        <v>1.8189894035458565E-12</v>
      </c>
      <c r="D5" s="102"/>
      <c r="E5" s="115"/>
      <c r="F5" s="192"/>
      <c r="G5" s="116"/>
      <c r="H5" s="117"/>
      <c r="I5" s="117"/>
    </row>
    <row r="6" spans="1:8" ht="18.75">
      <c r="A6" s="113" t="s">
        <v>193</v>
      </c>
      <c r="B6" s="114" t="s">
        <v>194</v>
      </c>
      <c r="C6" s="102">
        <f>SUM(0)</f>
        <v>0</v>
      </c>
      <c r="D6" s="102"/>
      <c r="E6" s="115"/>
      <c r="F6" s="193"/>
      <c r="G6" s="116"/>
      <c r="H6" s="117"/>
    </row>
    <row r="7" spans="1:9" ht="18.75">
      <c r="A7" s="118" t="s">
        <v>109</v>
      </c>
      <c r="B7" s="114" t="s">
        <v>115</v>
      </c>
      <c r="C7" s="102">
        <f>SUM(414670.39-650788.54-414670.39+1105561.53)</f>
        <v>454772.99</v>
      </c>
      <c r="D7" s="102"/>
      <c r="E7" s="189"/>
      <c r="F7" s="192"/>
      <c r="G7" s="116"/>
      <c r="I7" s="117"/>
    </row>
    <row r="8" spans="1:7" ht="18.75">
      <c r="A8" s="118" t="s">
        <v>91</v>
      </c>
      <c r="B8" s="114" t="s">
        <v>116</v>
      </c>
      <c r="C8" s="102">
        <f>SUM(7041405.08-470474.41)</f>
        <v>6570930.67</v>
      </c>
      <c r="D8" s="102"/>
      <c r="E8" s="189"/>
      <c r="F8" s="192"/>
      <c r="G8" s="116"/>
    </row>
    <row r="9" spans="1:7" ht="18.75">
      <c r="A9" s="118" t="s">
        <v>93</v>
      </c>
      <c r="B9" s="114" t="s">
        <v>117</v>
      </c>
      <c r="C9" s="102">
        <f>SUM(293810.66+39749+12002.47+6311+58761.91-79000)</f>
        <v>331635.0399999999</v>
      </c>
      <c r="D9" s="102"/>
      <c r="E9" s="189"/>
      <c r="F9" s="192"/>
      <c r="G9" s="116"/>
    </row>
    <row r="10" spans="1:8" ht="18.75">
      <c r="A10" s="118" t="s">
        <v>2</v>
      </c>
      <c r="B10" s="114" t="s">
        <v>3</v>
      </c>
      <c r="C10" s="102">
        <f>SUM(15137895.2+650788.54+414670.39+57+700+62696.52-1069125.66)</f>
        <v>15197681.989999998</v>
      </c>
      <c r="D10" s="102"/>
      <c r="E10" s="190"/>
      <c r="F10" s="192"/>
      <c r="G10" s="116"/>
      <c r="H10" s="117"/>
    </row>
    <row r="11" spans="1:7" ht="18.75">
      <c r="A11" s="118" t="s">
        <v>92</v>
      </c>
      <c r="B11" s="114" t="s">
        <v>151</v>
      </c>
      <c r="C11" s="102">
        <f>SUM(1015198+931.1)</f>
        <v>1016129.1</v>
      </c>
      <c r="D11" s="102"/>
      <c r="E11" s="189"/>
      <c r="F11" s="192"/>
      <c r="G11" s="116"/>
    </row>
    <row r="12" spans="1:7" ht="18.75">
      <c r="A12" s="118" t="s">
        <v>150</v>
      </c>
      <c r="B12" s="114" t="s">
        <v>152</v>
      </c>
      <c r="C12" s="102">
        <f>SUM(7755566.41+60808.73)</f>
        <v>7816375.140000001</v>
      </c>
      <c r="D12" s="102"/>
      <c r="E12" s="189"/>
      <c r="F12" s="192"/>
      <c r="G12" s="116"/>
    </row>
    <row r="13" spans="1:7" ht="18.75">
      <c r="A13" s="118" t="s">
        <v>286</v>
      </c>
      <c r="B13" s="114" t="s">
        <v>287</v>
      </c>
      <c r="C13" s="102">
        <v>0</v>
      </c>
      <c r="D13" s="102"/>
      <c r="E13" s="116"/>
      <c r="F13" s="116"/>
      <c r="G13" s="116"/>
    </row>
    <row r="14" spans="1:7" ht="18.75">
      <c r="A14" s="118" t="s">
        <v>94</v>
      </c>
      <c r="B14" s="114" t="s">
        <v>118</v>
      </c>
      <c r="C14" s="102">
        <f>SUM(188024+3360)</f>
        <v>191384</v>
      </c>
      <c r="D14" s="102"/>
      <c r="F14" s="116"/>
      <c r="G14" s="116"/>
    </row>
    <row r="15" spans="1:8" ht="18.75">
      <c r="A15" s="118" t="s">
        <v>94</v>
      </c>
      <c r="B15" s="114" t="s">
        <v>180</v>
      </c>
      <c r="C15" s="102">
        <f>SUM(55000+4500)</f>
        <v>59500</v>
      </c>
      <c r="D15" s="102"/>
      <c r="E15" s="117"/>
      <c r="F15" s="116"/>
      <c r="G15" s="116"/>
      <c r="H15" s="117"/>
    </row>
    <row r="16" spans="1:8" ht="18.75">
      <c r="A16" s="118" t="s">
        <v>95</v>
      </c>
      <c r="B16" s="119">
        <v>5100</v>
      </c>
      <c r="C16" s="102">
        <f>SUM(2640784.78-2683.33+308118.32)</f>
        <v>2946219.7699999996</v>
      </c>
      <c r="D16" s="102"/>
      <c r="F16" s="116"/>
      <c r="G16" s="116"/>
      <c r="H16" s="117"/>
    </row>
    <row r="17" spans="1:8" ht="18.75">
      <c r="A17" s="118" t="s">
        <v>96</v>
      </c>
      <c r="B17" s="119">
        <v>5120</v>
      </c>
      <c r="C17" s="102">
        <f>SUM(135000+15000)</f>
        <v>150000</v>
      </c>
      <c r="D17" s="102"/>
      <c r="F17" s="116"/>
      <c r="G17" s="116"/>
      <c r="H17" s="117"/>
    </row>
    <row r="18" spans="1:7" ht="18.75">
      <c r="A18" s="118" t="s">
        <v>173</v>
      </c>
      <c r="B18" s="119">
        <v>5130</v>
      </c>
      <c r="C18" s="102">
        <f>SUM(288000+33000)</f>
        <v>321000</v>
      </c>
      <c r="D18" s="102"/>
      <c r="F18" s="116"/>
      <c r="G18" s="116"/>
    </row>
    <row r="19" spans="1:7" ht="18.75">
      <c r="A19" s="118" t="s">
        <v>97</v>
      </c>
      <c r="B19" s="119">
        <v>5200</v>
      </c>
      <c r="C19" s="102">
        <f>SUM(1047759.71+24404.67+750)</f>
        <v>1072914.38</v>
      </c>
      <c r="D19" s="102"/>
      <c r="F19" s="116"/>
      <c r="G19" s="116"/>
    </row>
    <row r="20" spans="1:7" ht="18.75">
      <c r="A20" s="118" t="s">
        <v>97</v>
      </c>
      <c r="B20" s="119">
        <v>6200</v>
      </c>
      <c r="C20" s="102">
        <f>SUM(628800+157200)</f>
        <v>786000</v>
      </c>
      <c r="D20" s="102"/>
      <c r="F20" s="116"/>
      <c r="G20" s="116"/>
    </row>
    <row r="21" spans="1:7" ht="18.75">
      <c r="A21" s="118" t="s">
        <v>98</v>
      </c>
      <c r="B21" s="119">
        <v>5250</v>
      </c>
      <c r="C21" s="102">
        <f>SUM(1010479.39+4500+3340+3260+2400+52091.26)</f>
        <v>1076070.65</v>
      </c>
      <c r="D21" s="102"/>
      <c r="F21" s="116"/>
      <c r="G21" s="116"/>
    </row>
    <row r="22" spans="1:7" ht="18.75">
      <c r="A22" s="118" t="s">
        <v>98</v>
      </c>
      <c r="B22" s="119">
        <v>6250</v>
      </c>
      <c r="C22" s="102">
        <f>SUM(757053)</f>
        <v>757053</v>
      </c>
      <c r="D22" s="102"/>
      <c r="F22" s="116"/>
      <c r="G22" s="116"/>
    </row>
    <row r="23" spans="1:7" ht="18.75">
      <c r="A23" s="118" t="s">
        <v>99</v>
      </c>
      <c r="B23" s="119">
        <v>5270</v>
      </c>
      <c r="C23" s="102">
        <f>SUM(245242+4500)</f>
        <v>249742</v>
      </c>
      <c r="D23" s="102"/>
      <c r="F23" s="116"/>
      <c r="G23" s="116"/>
    </row>
    <row r="24" spans="1:7" ht="18.75">
      <c r="A24" s="118" t="s">
        <v>99</v>
      </c>
      <c r="B24" s="119">
        <v>6270</v>
      </c>
      <c r="C24" s="102">
        <f>SUM(637288.42+144694.1)</f>
        <v>781982.52</v>
      </c>
      <c r="D24" s="102"/>
      <c r="E24" s="245"/>
      <c r="F24" s="116"/>
      <c r="G24" s="116"/>
    </row>
    <row r="25" spans="1:7" ht="18.75">
      <c r="A25" s="118" t="s">
        <v>101</v>
      </c>
      <c r="B25" s="119">
        <v>5300</v>
      </c>
      <c r="C25" s="102">
        <f>SUM(159559.47+20420.92)</f>
        <v>179980.39</v>
      </c>
      <c r="D25" s="102"/>
      <c r="F25" s="116"/>
      <c r="G25" s="116"/>
    </row>
    <row r="26" spans="1:7" ht="18.75">
      <c r="A26" s="118" t="s">
        <v>102</v>
      </c>
      <c r="B26" s="119">
        <v>5400</v>
      </c>
      <c r="C26" s="102">
        <f>SUM(115000+15000)</f>
        <v>130000</v>
      </c>
      <c r="D26" s="102"/>
      <c r="F26" s="116"/>
      <c r="G26" s="116"/>
    </row>
    <row r="27" spans="1:7" ht="18.75">
      <c r="A27" s="118" t="s">
        <v>102</v>
      </c>
      <c r="B27" s="119">
        <v>6400</v>
      </c>
      <c r="C27" s="102">
        <f>SUM(2024500)</f>
        <v>2024500</v>
      </c>
      <c r="D27" s="102"/>
      <c r="F27" s="116"/>
      <c r="G27" s="116"/>
    </row>
    <row r="28" spans="1:7" ht="18.75">
      <c r="A28" s="118" t="s">
        <v>100</v>
      </c>
      <c r="B28" s="119">
        <v>5450</v>
      </c>
      <c r="C28" s="102">
        <f>SUM(5000)</f>
        <v>5000</v>
      </c>
      <c r="D28" s="102"/>
      <c r="F28" s="116"/>
      <c r="G28" s="116"/>
    </row>
    <row r="29" spans="1:7" ht="18.75">
      <c r="A29" s="118" t="s">
        <v>100</v>
      </c>
      <c r="B29" s="119">
        <v>6450</v>
      </c>
      <c r="C29" s="102">
        <f>SUM(68200+17800)</f>
        <v>86000</v>
      </c>
      <c r="D29" s="102"/>
      <c r="F29" s="116"/>
      <c r="G29" s="116"/>
    </row>
    <row r="30" spans="1:7" ht="18.75">
      <c r="A30" s="118" t="s">
        <v>103</v>
      </c>
      <c r="B30" s="119">
        <v>5500</v>
      </c>
      <c r="C30" s="102">
        <v>175000</v>
      </c>
      <c r="D30" s="102"/>
      <c r="F30" s="116"/>
      <c r="G30" s="116"/>
    </row>
    <row r="31" spans="1:7" ht="18.75">
      <c r="A31" s="118" t="s">
        <v>157</v>
      </c>
      <c r="B31" s="119">
        <v>5550</v>
      </c>
      <c r="C31" s="102">
        <v>0</v>
      </c>
      <c r="D31" s="102"/>
      <c r="F31" s="116"/>
      <c r="G31" s="116"/>
    </row>
    <row r="32" spans="1:7" ht="18.75">
      <c r="A32" s="118" t="s">
        <v>94</v>
      </c>
      <c r="B32" s="119">
        <v>7000</v>
      </c>
      <c r="C32" s="102">
        <f>SUM(4184920+459820+642)</f>
        <v>4645382</v>
      </c>
      <c r="D32" s="102"/>
      <c r="F32" s="116"/>
      <c r="G32" s="116"/>
    </row>
    <row r="33" spans="1:7" ht="18.75">
      <c r="A33" s="118" t="s">
        <v>173</v>
      </c>
      <c r="B33" s="119">
        <v>7130</v>
      </c>
      <c r="C33" s="102">
        <f>SUM(148500+18000+5172)</f>
        <v>171672</v>
      </c>
      <c r="D33" s="102"/>
      <c r="F33" s="116"/>
      <c r="G33" s="116"/>
    </row>
    <row r="34" spans="1:7" ht="18.75">
      <c r="A34" s="118" t="s">
        <v>98</v>
      </c>
      <c r="B34" s="119">
        <v>7250</v>
      </c>
      <c r="C34" s="102">
        <f>SUM(35000)</f>
        <v>35000</v>
      </c>
      <c r="D34" s="102"/>
      <c r="F34" s="116"/>
      <c r="G34" s="116"/>
    </row>
    <row r="35" spans="1:7" ht="18.75">
      <c r="A35" s="118" t="s">
        <v>337</v>
      </c>
      <c r="B35" s="119">
        <v>7450</v>
      </c>
      <c r="C35" s="102">
        <v>24800</v>
      </c>
      <c r="D35" s="102"/>
      <c r="F35" s="116"/>
      <c r="G35" s="116"/>
    </row>
    <row r="36" spans="1:7" ht="18.75">
      <c r="A36" s="118" t="s">
        <v>283</v>
      </c>
      <c r="B36" s="119" t="s">
        <v>284</v>
      </c>
      <c r="C36" s="102">
        <f>SUM(857496-116529+79000)</f>
        <v>819967</v>
      </c>
      <c r="D36" s="102"/>
      <c r="F36" s="116"/>
      <c r="G36" s="116"/>
    </row>
    <row r="37" spans="1:7" ht="18.75">
      <c r="A37" s="118" t="s">
        <v>156</v>
      </c>
      <c r="B37" s="114" t="s">
        <v>45</v>
      </c>
      <c r="C37" s="102">
        <f>SUM(11180-4500-3340-3260-2400-780+9696)</f>
        <v>6596</v>
      </c>
      <c r="D37" s="102"/>
      <c r="F37" s="116"/>
      <c r="G37" s="116"/>
    </row>
    <row r="38" spans="1:7" ht="18.75">
      <c r="A38" s="118" t="s">
        <v>309</v>
      </c>
      <c r="B38" s="114">
        <v>600</v>
      </c>
      <c r="C38" s="102"/>
      <c r="D38" s="102">
        <f>SUM(1000000)</f>
        <v>1000000</v>
      </c>
      <c r="F38" s="116"/>
      <c r="G38" s="116"/>
    </row>
    <row r="39" spans="1:7" ht="18.75">
      <c r="A39" s="118" t="s">
        <v>104</v>
      </c>
      <c r="B39" s="114" t="s">
        <v>119</v>
      </c>
      <c r="C39" s="102"/>
      <c r="D39" s="102">
        <f>SUM(11267951.03+5814+750)</f>
        <v>11274515.03</v>
      </c>
      <c r="E39" s="117"/>
      <c r="F39" s="116"/>
      <c r="G39" s="116"/>
    </row>
    <row r="40" spans="1:7" ht="18.75">
      <c r="A40" s="118" t="s">
        <v>298</v>
      </c>
      <c r="B40" s="114">
        <v>704</v>
      </c>
      <c r="C40" s="102">
        <f>SUM(18000-18000)</f>
        <v>0</v>
      </c>
      <c r="D40" s="102"/>
      <c r="E40" s="117"/>
      <c r="F40" s="116"/>
      <c r="G40" s="116"/>
    </row>
    <row r="41" spans="1:7" ht="18.75">
      <c r="A41" s="118" t="s">
        <v>15</v>
      </c>
      <c r="B41" s="119" t="s">
        <v>106</v>
      </c>
      <c r="C41" s="102"/>
      <c r="D41" s="102">
        <f>SUM(7661816.71)</f>
        <v>7661816.71</v>
      </c>
      <c r="E41" s="117"/>
      <c r="F41" s="116"/>
      <c r="G41" s="116"/>
    </row>
    <row r="42" spans="1:7" ht="18.75">
      <c r="A42" s="118" t="s">
        <v>273</v>
      </c>
      <c r="B42" s="119">
        <v>821</v>
      </c>
      <c r="C42" s="102"/>
      <c r="D42" s="102">
        <v>26718401.7</v>
      </c>
      <c r="E42" s="117"/>
      <c r="F42" s="116"/>
      <c r="G42" s="116"/>
    </row>
    <row r="43" spans="1:7" ht="18.75">
      <c r="A43" s="118" t="s">
        <v>274</v>
      </c>
      <c r="B43" s="119">
        <v>900</v>
      </c>
      <c r="C43" s="102"/>
      <c r="D43" s="102">
        <v>1428555.2</v>
      </c>
      <c r="E43" s="120"/>
      <c r="F43" s="116"/>
      <c r="G43" s="116"/>
    </row>
    <row r="44" spans="1:6" ht="19.5" thickBot="1">
      <c r="A44" s="184"/>
      <c r="B44" s="185"/>
      <c r="C44" s="121">
        <f>SUM(C5:C43)</f>
        <v>48083288.64000001</v>
      </c>
      <c r="D44" s="121">
        <f>SUM(D38:D43)</f>
        <v>48083288.64</v>
      </c>
      <c r="E44" s="117"/>
      <c r="F44" s="183"/>
    </row>
    <row r="45" ht="19.5" thickTop="1">
      <c r="E45" s="117"/>
    </row>
    <row r="64" spans="1:4" ht="18.75">
      <c r="A64" s="216"/>
      <c r="B64" s="216"/>
      <c r="C64" s="216"/>
      <c r="D64" s="216"/>
    </row>
  </sheetData>
  <sheetProtection/>
  <mergeCells count="4">
    <mergeCell ref="A1:D1"/>
    <mergeCell ref="A2:D2"/>
    <mergeCell ref="A3:D3"/>
    <mergeCell ref="A64:D64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6" sqref="A46:IV62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5" width="11.28125" style="8" customWidth="1"/>
    <col min="6" max="16384" width="9.140625" style="8" customWidth="1"/>
  </cols>
  <sheetData>
    <row r="1" spans="1:4" s="10" customFormat="1" ht="21">
      <c r="A1" s="215" t="s">
        <v>107</v>
      </c>
      <c r="B1" s="215"/>
      <c r="C1" s="215"/>
      <c r="D1" s="215"/>
    </row>
    <row r="2" spans="1:4" s="10" customFormat="1" ht="21">
      <c r="A2" s="215" t="s">
        <v>195</v>
      </c>
      <c r="B2" s="215"/>
      <c r="C2" s="215"/>
      <c r="D2" s="215"/>
    </row>
    <row r="3" spans="1:4" s="10" customFormat="1" ht="21">
      <c r="A3" s="217" t="s">
        <v>344</v>
      </c>
      <c r="B3" s="217"/>
      <c r="C3" s="217"/>
      <c r="D3" s="217"/>
    </row>
    <row r="4" spans="1:4" ht="18">
      <c r="A4" s="60" t="s">
        <v>86</v>
      </c>
      <c r="B4" s="60" t="s">
        <v>87</v>
      </c>
      <c r="C4" s="61" t="s">
        <v>120</v>
      </c>
      <c r="D4" s="60" t="s">
        <v>121</v>
      </c>
    </row>
    <row r="5" spans="1:4" ht="18">
      <c r="A5" s="62"/>
      <c r="B5" s="62"/>
      <c r="C5" s="63"/>
      <c r="D5" s="63"/>
    </row>
    <row r="6" spans="1:5" ht="18">
      <c r="A6" s="64" t="s">
        <v>137</v>
      </c>
      <c r="B6" s="59"/>
      <c r="C6" s="65">
        <f>SUM(C7+C11+C16+C18+C19)</f>
        <v>375590</v>
      </c>
      <c r="D6" s="65">
        <f>SUM(D7+D11+D16+D18+D19)</f>
        <v>399258.55</v>
      </c>
      <c r="E6" s="15"/>
    </row>
    <row r="7" spans="1:5" ht="18">
      <c r="A7" s="66" t="s">
        <v>138</v>
      </c>
      <c r="B7" s="67" t="s">
        <v>29</v>
      </c>
      <c r="C7" s="68">
        <f>SUM(C8:C10)</f>
        <v>69850</v>
      </c>
      <c r="D7" s="68">
        <f>SUM(D8:D10)</f>
        <v>69001.32</v>
      </c>
      <c r="E7" s="15"/>
    </row>
    <row r="8" spans="1:4" ht="18">
      <c r="A8" s="69" t="s">
        <v>122</v>
      </c>
      <c r="B8" s="70" t="s">
        <v>65</v>
      </c>
      <c r="C8" s="71">
        <v>23970</v>
      </c>
      <c r="D8" s="72">
        <v>27048.5</v>
      </c>
    </row>
    <row r="9" spans="1:5" ht="18">
      <c r="A9" s="73" t="s">
        <v>123</v>
      </c>
      <c r="B9" s="74" t="s">
        <v>66</v>
      </c>
      <c r="C9" s="75">
        <v>45750</v>
      </c>
      <c r="D9" s="76">
        <v>41952.82</v>
      </c>
      <c r="E9" s="15"/>
    </row>
    <row r="10" spans="1:4" ht="18">
      <c r="A10" s="77" t="s">
        <v>124</v>
      </c>
      <c r="B10" s="78" t="s">
        <v>67</v>
      </c>
      <c r="C10" s="79">
        <v>130</v>
      </c>
      <c r="D10" s="80">
        <v>0</v>
      </c>
    </row>
    <row r="11" spans="1:4" ht="18">
      <c r="A11" s="66" t="s">
        <v>139</v>
      </c>
      <c r="B11" s="67" t="s">
        <v>31</v>
      </c>
      <c r="C11" s="68">
        <f>SUM(C12:C15)</f>
        <v>350</v>
      </c>
      <c r="D11" s="68">
        <f>SUM(D12:D15)</f>
        <v>1412.6799999999998</v>
      </c>
    </row>
    <row r="12" spans="1:4" ht="18">
      <c r="A12" s="69" t="s">
        <v>69</v>
      </c>
      <c r="B12" s="70" t="s">
        <v>68</v>
      </c>
      <c r="C12" s="71">
        <v>240</v>
      </c>
      <c r="D12" s="72">
        <v>0</v>
      </c>
    </row>
    <row r="13" spans="1:4" ht="18">
      <c r="A13" s="73" t="s">
        <v>125</v>
      </c>
      <c r="B13" s="74" t="s">
        <v>70</v>
      </c>
      <c r="C13" s="75">
        <v>60</v>
      </c>
      <c r="D13" s="76">
        <v>1012.68</v>
      </c>
    </row>
    <row r="14" spans="1:4" ht="18">
      <c r="A14" s="73" t="s">
        <v>126</v>
      </c>
      <c r="B14" s="74" t="s">
        <v>71</v>
      </c>
      <c r="C14" s="75">
        <v>0</v>
      </c>
      <c r="D14" s="76">
        <v>0</v>
      </c>
    </row>
    <row r="15" spans="1:4" ht="18">
      <c r="A15" s="77" t="s">
        <v>305</v>
      </c>
      <c r="B15" s="78" t="s">
        <v>306</v>
      </c>
      <c r="C15" s="79">
        <v>50</v>
      </c>
      <c r="D15" s="80">
        <v>400</v>
      </c>
    </row>
    <row r="16" spans="1:4" ht="18">
      <c r="A16" s="66" t="s">
        <v>140</v>
      </c>
      <c r="B16" s="67" t="s">
        <v>33</v>
      </c>
      <c r="C16" s="68">
        <f>SUM(C17)</f>
        <v>107140</v>
      </c>
      <c r="D16" s="68">
        <f>SUM(D17)</f>
        <v>287944.55</v>
      </c>
    </row>
    <row r="17" spans="1:4" ht="18">
      <c r="A17" s="81" t="s">
        <v>127</v>
      </c>
      <c r="B17" s="67" t="s">
        <v>72</v>
      </c>
      <c r="C17" s="82">
        <v>107140</v>
      </c>
      <c r="D17" s="68">
        <v>287944.55</v>
      </c>
    </row>
    <row r="18" spans="1:4" ht="18">
      <c r="A18" s="66" t="s">
        <v>141</v>
      </c>
      <c r="B18" s="67" t="s">
        <v>35</v>
      </c>
      <c r="C18" s="68">
        <v>0</v>
      </c>
      <c r="D18" s="68">
        <v>0</v>
      </c>
    </row>
    <row r="19" spans="1:4" ht="18">
      <c r="A19" s="83" t="s">
        <v>142</v>
      </c>
      <c r="B19" s="70" t="s">
        <v>37</v>
      </c>
      <c r="C19" s="72">
        <f>SUM(C20:C21)</f>
        <v>198250</v>
      </c>
      <c r="D19" s="72">
        <f>SUM(D20:D21)</f>
        <v>40900</v>
      </c>
    </row>
    <row r="20" spans="1:4" ht="18">
      <c r="A20" s="69" t="s">
        <v>128</v>
      </c>
      <c r="B20" s="70" t="s">
        <v>73</v>
      </c>
      <c r="C20" s="71">
        <v>196500</v>
      </c>
      <c r="D20" s="72">
        <v>40500</v>
      </c>
    </row>
    <row r="21" spans="1:4" ht="18">
      <c r="A21" s="77" t="s">
        <v>196</v>
      </c>
      <c r="B21" s="78" t="s">
        <v>184</v>
      </c>
      <c r="C21" s="79">
        <v>1750</v>
      </c>
      <c r="D21" s="80">
        <v>400</v>
      </c>
    </row>
    <row r="22" spans="1:4" ht="18">
      <c r="A22" s="77" t="s">
        <v>143</v>
      </c>
      <c r="B22" s="62"/>
      <c r="C22" s="80">
        <f>SUM(C23)</f>
        <v>9808360</v>
      </c>
      <c r="D22" s="80">
        <f>SUM(D23)</f>
        <v>12734860.15</v>
      </c>
    </row>
    <row r="23" spans="1:4" ht="18">
      <c r="A23" s="66" t="s">
        <v>138</v>
      </c>
      <c r="B23" s="67" t="s">
        <v>41</v>
      </c>
      <c r="C23" s="68">
        <f>SUM(C24:C31)</f>
        <v>9808360</v>
      </c>
      <c r="D23" s="68">
        <f>SUM(D24:D31)</f>
        <v>12734860.15</v>
      </c>
    </row>
    <row r="24" spans="1:4" ht="18">
      <c r="A24" s="69" t="s">
        <v>129</v>
      </c>
      <c r="B24" s="70" t="s">
        <v>74</v>
      </c>
      <c r="C24" s="71">
        <v>0</v>
      </c>
      <c r="D24" s="72">
        <v>0</v>
      </c>
    </row>
    <row r="25" spans="1:4" ht="18">
      <c r="A25" s="73" t="s">
        <v>304</v>
      </c>
      <c r="B25" s="74" t="s">
        <v>75</v>
      </c>
      <c r="C25" s="75">
        <v>6606470</v>
      </c>
      <c r="D25" s="76">
        <f>SUM(2242132.82+7522545.95)</f>
        <v>9764678.77</v>
      </c>
    </row>
    <row r="26" spans="1:4" ht="18">
      <c r="A26" s="73" t="s">
        <v>130</v>
      </c>
      <c r="B26" s="74" t="s">
        <v>76</v>
      </c>
      <c r="C26" s="75">
        <v>8580</v>
      </c>
      <c r="D26" s="76">
        <v>18405.53</v>
      </c>
    </row>
    <row r="27" spans="1:4" ht="18">
      <c r="A27" s="73" t="s">
        <v>131</v>
      </c>
      <c r="B27" s="74" t="s">
        <v>77</v>
      </c>
      <c r="C27" s="75">
        <v>860190</v>
      </c>
      <c r="D27" s="76">
        <v>832450.83</v>
      </c>
    </row>
    <row r="28" spans="1:4" ht="18">
      <c r="A28" s="73" t="s">
        <v>132</v>
      </c>
      <c r="B28" s="74" t="s">
        <v>78</v>
      </c>
      <c r="C28" s="75">
        <v>2072660</v>
      </c>
      <c r="D28" s="76">
        <v>1827286.8</v>
      </c>
    </row>
    <row r="29" spans="1:4" ht="18">
      <c r="A29" s="73" t="s">
        <v>133</v>
      </c>
      <c r="B29" s="74" t="s">
        <v>79</v>
      </c>
      <c r="C29" s="75">
        <v>65460</v>
      </c>
      <c r="D29" s="76">
        <v>33653.64</v>
      </c>
    </row>
    <row r="30" spans="1:4" ht="18">
      <c r="A30" s="73" t="s">
        <v>134</v>
      </c>
      <c r="B30" s="74" t="s">
        <v>80</v>
      </c>
      <c r="C30" s="75">
        <v>47090</v>
      </c>
      <c r="D30" s="76">
        <v>63076.58</v>
      </c>
    </row>
    <row r="31" spans="1:4" ht="18">
      <c r="A31" s="77" t="s">
        <v>82</v>
      </c>
      <c r="B31" s="78" t="s">
        <v>81</v>
      </c>
      <c r="C31" s="79">
        <v>147910</v>
      </c>
      <c r="D31" s="80">
        <v>195308</v>
      </c>
    </row>
    <row r="32" spans="1:4" ht="18">
      <c r="A32" s="81" t="s">
        <v>144</v>
      </c>
      <c r="B32" s="59"/>
      <c r="C32" s="68">
        <f>SUM(C33)</f>
        <v>7615990</v>
      </c>
      <c r="D32" s="68">
        <f>SUM(D33)</f>
        <v>7629669</v>
      </c>
    </row>
    <row r="33" spans="1:4" ht="18">
      <c r="A33" s="66" t="s">
        <v>145</v>
      </c>
      <c r="B33" s="67" t="s">
        <v>43</v>
      </c>
      <c r="C33" s="68">
        <f>SUM(C34)</f>
        <v>7615990</v>
      </c>
      <c r="D33" s="68">
        <f>SUM(D34)</f>
        <v>7629669</v>
      </c>
    </row>
    <row r="34" spans="1:4" ht="18">
      <c r="A34" s="81" t="s">
        <v>135</v>
      </c>
      <c r="B34" s="67" t="s">
        <v>83</v>
      </c>
      <c r="C34" s="82">
        <v>7615990</v>
      </c>
      <c r="D34" s="68">
        <v>7629669</v>
      </c>
    </row>
    <row r="35" spans="1:4" ht="18">
      <c r="A35" s="84" t="s">
        <v>189</v>
      </c>
      <c r="B35" s="78"/>
      <c r="C35" s="82">
        <f>SUM(C36)</f>
        <v>0</v>
      </c>
      <c r="D35" s="68">
        <f>SUM(D36)</f>
        <v>5954614</v>
      </c>
    </row>
    <row r="36" spans="1:4" ht="18">
      <c r="A36" s="66" t="s">
        <v>190</v>
      </c>
      <c r="B36" s="67">
        <v>3000</v>
      </c>
      <c r="C36" s="82">
        <f>SUM(C37:C38)</f>
        <v>0</v>
      </c>
      <c r="D36" s="68">
        <f>SUM(D37:D41)</f>
        <v>5954614</v>
      </c>
    </row>
    <row r="37" spans="1:4" ht="18">
      <c r="A37" s="69" t="s">
        <v>333</v>
      </c>
      <c r="B37" s="70">
        <v>3002</v>
      </c>
      <c r="C37" s="71">
        <v>0</v>
      </c>
      <c r="D37" s="72">
        <v>4798800</v>
      </c>
    </row>
    <row r="38" spans="1:4" ht="18">
      <c r="A38" s="73" t="s">
        <v>334</v>
      </c>
      <c r="B38" s="74">
        <v>3002</v>
      </c>
      <c r="C38" s="75">
        <v>0</v>
      </c>
      <c r="D38" s="76">
        <v>903000</v>
      </c>
    </row>
    <row r="39" spans="1:4" ht="18">
      <c r="A39" s="73" t="s">
        <v>335</v>
      </c>
      <c r="B39" s="74">
        <v>3002</v>
      </c>
      <c r="C39" s="75">
        <v>0</v>
      </c>
      <c r="D39" s="76">
        <v>193014</v>
      </c>
    </row>
    <row r="40" spans="1:4" ht="18">
      <c r="A40" s="73" t="s">
        <v>336</v>
      </c>
      <c r="B40" s="74">
        <v>3002</v>
      </c>
      <c r="C40" s="75">
        <v>0</v>
      </c>
      <c r="D40" s="76">
        <v>24800</v>
      </c>
    </row>
    <row r="41" spans="1:4" ht="18">
      <c r="A41" s="186" t="s">
        <v>332</v>
      </c>
      <c r="B41" s="74">
        <v>3002</v>
      </c>
      <c r="C41" s="213">
        <v>0</v>
      </c>
      <c r="D41" s="76">
        <v>35000</v>
      </c>
    </row>
    <row r="42" spans="1:4" ht="18.75" thickBot="1">
      <c r="A42" s="194" t="s">
        <v>136</v>
      </c>
      <c r="B42" s="124"/>
      <c r="C42" s="125">
        <f>SUM(C6+C22+C32)</f>
        <v>17799940</v>
      </c>
      <c r="D42" s="105">
        <f>SUM(D6+D22+D32+D36)</f>
        <v>26718401.700000003</v>
      </c>
    </row>
    <row r="43" ht="18.75" thickTop="1">
      <c r="E43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9" sqref="A19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8" t="s">
        <v>107</v>
      </c>
      <c r="B1" s="218"/>
      <c r="C1" s="218"/>
      <c r="D1" s="218"/>
      <c r="E1" s="218"/>
    </row>
    <row r="2" spans="1:5" ht="23.25">
      <c r="A2" s="218" t="s">
        <v>198</v>
      </c>
      <c r="B2" s="218"/>
      <c r="C2" s="218"/>
      <c r="D2" s="218"/>
      <c r="E2" s="218"/>
    </row>
    <row r="3" spans="1:4" ht="23.25">
      <c r="A3" s="223"/>
      <c r="B3" s="218"/>
      <c r="C3" s="218"/>
      <c r="D3" s="218"/>
    </row>
    <row r="4" spans="1:4" ht="23.25">
      <c r="A4" s="224" t="s">
        <v>345</v>
      </c>
      <c r="B4" s="222"/>
      <c r="C4" s="222"/>
      <c r="D4" s="222"/>
    </row>
    <row r="5" spans="1:10" ht="23.25">
      <c r="A5" s="2"/>
      <c r="B5" s="43"/>
      <c r="C5" s="3" t="s">
        <v>4</v>
      </c>
      <c r="D5" s="3" t="s">
        <v>5</v>
      </c>
      <c r="E5" s="3" t="s">
        <v>6</v>
      </c>
      <c r="G5" s="3" t="s">
        <v>27</v>
      </c>
      <c r="H5" s="3" t="s">
        <v>4</v>
      </c>
      <c r="I5" s="3" t="s">
        <v>5</v>
      </c>
      <c r="J5" s="3" t="s">
        <v>6</v>
      </c>
    </row>
    <row r="6" spans="1:10" ht="23.25">
      <c r="A6" s="1" t="s">
        <v>112</v>
      </c>
      <c r="B6" s="44"/>
      <c r="C6" s="6">
        <f>SUM(H6)</f>
        <v>2285.61</v>
      </c>
      <c r="D6" s="5">
        <f aca="true" t="shared" si="0" ref="C6:D12">SUM(I6)</f>
        <v>934.41</v>
      </c>
      <c r="E6" s="6">
        <f aca="true" t="shared" si="1" ref="E6:E12">SUM(J6)</f>
        <v>2385.6100000000006</v>
      </c>
      <c r="G6" s="5">
        <v>1034.41</v>
      </c>
      <c r="H6" s="6">
        <v>2285.61</v>
      </c>
      <c r="I6" s="5">
        <v>934.41</v>
      </c>
      <c r="J6" s="6">
        <f aca="true" t="shared" si="2" ref="J6:J11">SUM(G6+H6-I6)</f>
        <v>2385.6100000000006</v>
      </c>
    </row>
    <row r="7" spans="1:10" ht="23.25">
      <c r="A7" s="1" t="s">
        <v>113</v>
      </c>
      <c r="B7" s="44"/>
      <c r="C7" s="6">
        <f t="shared" si="0"/>
        <v>0</v>
      </c>
      <c r="D7" s="5">
        <f t="shared" si="0"/>
        <v>78346</v>
      </c>
      <c r="E7" s="6">
        <f t="shared" si="1"/>
        <v>198183</v>
      </c>
      <c r="G7" s="5">
        <v>276529</v>
      </c>
      <c r="H7" s="6">
        <v>0</v>
      </c>
      <c r="I7" s="5">
        <v>78346</v>
      </c>
      <c r="J7" s="6">
        <f t="shared" si="2"/>
        <v>198183</v>
      </c>
    </row>
    <row r="8" spans="1:10" ht="23.25">
      <c r="A8" s="1" t="s">
        <v>110</v>
      </c>
      <c r="B8" s="44"/>
      <c r="C8" s="6">
        <f>SUM(H8)</f>
        <v>22</v>
      </c>
      <c r="D8" s="5">
        <f t="shared" si="0"/>
        <v>0</v>
      </c>
      <c r="E8" s="6">
        <f t="shared" si="1"/>
        <v>4828.6</v>
      </c>
      <c r="G8" s="5">
        <v>4806.6</v>
      </c>
      <c r="H8" s="6">
        <v>22</v>
      </c>
      <c r="I8" s="5">
        <v>0</v>
      </c>
      <c r="J8" s="6">
        <f t="shared" si="2"/>
        <v>4828.6</v>
      </c>
    </row>
    <row r="9" spans="1:10" ht="23.25">
      <c r="A9" s="1" t="s">
        <v>111</v>
      </c>
      <c r="B9" s="44"/>
      <c r="C9" s="6">
        <f>SUM(H9)</f>
        <v>26.4</v>
      </c>
      <c r="D9" s="5">
        <f t="shared" si="0"/>
        <v>0</v>
      </c>
      <c r="E9" s="6">
        <f t="shared" si="1"/>
        <v>8902.92</v>
      </c>
      <c r="G9" s="5">
        <v>8876.52</v>
      </c>
      <c r="H9" s="6">
        <v>26.4</v>
      </c>
      <c r="I9" s="5">
        <v>0</v>
      </c>
      <c r="J9" s="6">
        <f t="shared" si="2"/>
        <v>8902.92</v>
      </c>
    </row>
    <row r="10" spans="1:10" ht="23.25">
      <c r="A10" s="1" t="s">
        <v>147</v>
      </c>
      <c r="B10" s="44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297</v>
      </c>
      <c r="B11" s="44"/>
      <c r="C11" s="6">
        <f t="shared" si="0"/>
        <v>295.38</v>
      </c>
      <c r="D11" s="5">
        <f t="shared" si="0"/>
        <v>0</v>
      </c>
      <c r="E11" s="6">
        <f t="shared" si="1"/>
        <v>1151602.0399999998</v>
      </c>
      <c r="G11" s="5">
        <v>1151306.66</v>
      </c>
      <c r="H11" s="6">
        <v>295.38</v>
      </c>
      <c r="I11" s="5">
        <v>0</v>
      </c>
      <c r="J11" s="6">
        <f t="shared" si="2"/>
        <v>1151602.0399999998</v>
      </c>
    </row>
    <row r="12" spans="1:10" ht="23.25">
      <c r="A12" s="1" t="s">
        <v>187</v>
      </c>
      <c r="B12" s="44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295</v>
      </c>
      <c r="B13" s="44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299</v>
      </c>
      <c r="B14" s="44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4"/>
      <c r="C15" s="4">
        <f>SUM(C6:C14)</f>
        <v>2629.3900000000003</v>
      </c>
      <c r="D15" s="4">
        <f>SUM(D6:D14)</f>
        <v>79280.41</v>
      </c>
      <c r="E15" s="7">
        <f>SUM(E6:E14)</f>
        <v>1428555.1999999997</v>
      </c>
      <c r="F15" s="56"/>
      <c r="G15" s="4">
        <f>SUM(G6:G14)</f>
        <v>1505206.2199999997</v>
      </c>
      <c r="H15" s="4">
        <f>SUM(H6:H14)</f>
        <v>2629.3900000000003</v>
      </c>
      <c r="I15" s="4">
        <f>SUM(I6:I14)</f>
        <v>79280.41</v>
      </c>
      <c r="J15" s="7">
        <f>SUM(G15+H15-I15)</f>
        <v>1428555.1999999997</v>
      </c>
    </row>
    <row r="16" ht="24" thickTop="1"/>
    <row r="19" spans="1:5" ht="23.25">
      <c r="A19" s="221"/>
      <c r="B19" s="221"/>
      <c r="C19" s="221"/>
      <c r="D19" s="221"/>
      <c r="E19" s="221"/>
    </row>
    <row r="20" spans="1:5" ht="23.25">
      <c r="A20" s="221"/>
      <c r="B20" s="221"/>
      <c r="C20" s="221"/>
      <c r="D20" s="221"/>
      <c r="E20" s="221"/>
    </row>
    <row r="21" spans="1:5" ht="23.25">
      <c r="A21" s="219"/>
      <c r="B21" s="220"/>
      <c r="C21" s="220"/>
      <c r="D21" s="220"/>
      <c r="E21" s="30"/>
    </row>
    <row r="22" spans="1:5" ht="23.25">
      <c r="A22" s="219"/>
      <c r="B22" s="220"/>
      <c r="C22" s="220"/>
      <c r="D22" s="220"/>
      <c r="E22" s="30"/>
    </row>
    <row r="23" spans="1:5" ht="23.25">
      <c r="A23" s="85"/>
      <c r="B23" s="86"/>
      <c r="C23" s="86"/>
      <c r="D23" s="86"/>
      <c r="E23" s="30"/>
    </row>
    <row r="24" spans="1:5" ht="23.25">
      <c r="A24" s="43"/>
      <c r="B24" s="43"/>
      <c r="C24" s="43"/>
      <c r="D24" s="43"/>
      <c r="E24" s="43"/>
    </row>
    <row r="25" spans="1:5" ht="23.25">
      <c r="A25" s="30"/>
      <c r="B25" s="44"/>
      <c r="C25" s="87"/>
      <c r="D25" s="44"/>
      <c r="E25" s="87"/>
    </row>
    <row r="26" spans="1:5" ht="23.25">
      <c r="A26" s="30"/>
      <c r="B26" s="44"/>
      <c r="C26" s="87"/>
      <c r="D26" s="44"/>
      <c r="E26" s="87"/>
    </row>
    <row r="27" spans="1:5" ht="23.25">
      <c r="A27" s="30"/>
      <c r="B27" s="44"/>
      <c r="C27" s="87"/>
      <c r="D27" s="44"/>
      <c r="E27" s="87"/>
    </row>
    <row r="28" spans="1:5" ht="23.25">
      <c r="A28" s="30"/>
      <c r="B28" s="44"/>
      <c r="C28" s="87"/>
      <c r="D28" s="44"/>
      <c r="E28" s="87"/>
    </row>
    <row r="29" spans="1:5" ht="23.25">
      <c r="A29" s="30"/>
      <c r="B29" s="44"/>
      <c r="C29" s="87"/>
      <c r="D29" s="44"/>
      <c r="E29" s="87"/>
    </row>
    <row r="30" spans="1:5" ht="23.25">
      <c r="A30" s="30"/>
      <c r="B30" s="44"/>
      <c r="C30" s="87"/>
      <c r="D30" s="44"/>
      <c r="E30" s="87"/>
    </row>
    <row r="31" spans="1:5" ht="23.25">
      <c r="A31" s="30"/>
      <c r="B31" s="44"/>
      <c r="C31" s="87"/>
      <c r="D31" s="44"/>
      <c r="E31" s="87"/>
    </row>
    <row r="32" spans="1:5" ht="23.25">
      <c r="A32" s="30"/>
      <c r="B32" s="44"/>
      <c r="C32" s="44"/>
      <c r="D32" s="44"/>
      <c r="E32" s="87"/>
    </row>
    <row r="33" spans="1:5" ht="23.25">
      <c r="A33" s="30"/>
      <c r="B33" s="30"/>
      <c r="C33" s="30"/>
      <c r="D33" s="30"/>
      <c r="E33" s="30"/>
    </row>
    <row r="34" spans="1:5" ht="23.25">
      <c r="A34" s="30"/>
      <c r="B34" s="30"/>
      <c r="C34" s="30"/>
      <c r="D34" s="30"/>
      <c r="E34" s="30"/>
    </row>
    <row r="35" spans="1:5" ht="23.25">
      <c r="A35" s="30"/>
      <c r="B35" s="30"/>
      <c r="C35" s="30"/>
      <c r="D35" s="30"/>
      <c r="E35" s="30"/>
    </row>
    <row r="36" spans="1:5" ht="23.25">
      <c r="A36" s="30"/>
      <c r="B36" s="30"/>
      <c r="C36" s="30"/>
      <c r="D36" s="30"/>
      <c r="E36" s="30"/>
    </row>
    <row r="37" spans="1:5" ht="23.25">
      <c r="A37" s="30"/>
      <c r="B37" s="30"/>
      <c r="C37" s="30"/>
      <c r="D37" s="30"/>
      <c r="E37" s="30"/>
    </row>
    <row r="38" spans="1:5" ht="23.25">
      <c r="A38" s="30"/>
      <c r="B38" s="30"/>
      <c r="C38" s="30"/>
      <c r="D38" s="30"/>
      <c r="E38" s="30"/>
    </row>
    <row r="39" spans="1:5" ht="23.25">
      <c r="A39" s="30"/>
      <c r="B39" s="30"/>
      <c r="C39" s="30"/>
      <c r="D39" s="30"/>
      <c r="E39" s="30"/>
    </row>
    <row r="40" spans="1:5" ht="23.25">
      <c r="A40" s="30"/>
      <c r="B40" s="30"/>
      <c r="C40" s="30"/>
      <c r="D40" s="30"/>
      <c r="E40" s="30"/>
    </row>
    <row r="41" spans="1:5" ht="23.25">
      <c r="A41" s="30"/>
      <c r="B41" s="30"/>
      <c r="C41" s="30"/>
      <c r="D41" s="30"/>
      <c r="E41" s="30"/>
    </row>
    <row r="42" spans="1:5" ht="23.25">
      <c r="A42" s="30"/>
      <c r="B42" s="30"/>
      <c r="C42" s="30"/>
      <c r="D42" s="30"/>
      <c r="E42" s="30"/>
    </row>
    <row r="43" spans="1:5" ht="23.25">
      <c r="A43" s="30"/>
      <c r="B43" s="30"/>
      <c r="C43" s="30"/>
      <c r="D43" s="30"/>
      <c r="E43" s="30"/>
    </row>
    <row r="44" spans="1:5" ht="23.25">
      <c r="A44" s="30"/>
      <c r="B44" s="30"/>
      <c r="C44" s="30"/>
      <c r="D44" s="30"/>
      <c r="E44" s="30"/>
    </row>
    <row r="45" spans="1:5" ht="23.25">
      <c r="A45" s="30"/>
      <c r="B45" s="30"/>
      <c r="C45" s="30"/>
      <c r="D45" s="30"/>
      <c r="E45" s="30"/>
    </row>
    <row r="46" spans="1:5" ht="23.25">
      <c r="A46" s="30"/>
      <c r="B46" s="30"/>
      <c r="C46" s="30"/>
      <c r="D46" s="30"/>
      <c r="E46" s="30"/>
    </row>
    <row r="47" spans="1:5" ht="23.25">
      <c r="A47" s="30"/>
      <c r="B47" s="30"/>
      <c r="C47" s="30"/>
      <c r="D47" s="30"/>
      <c r="E47" s="30"/>
    </row>
    <row r="48" spans="1:5" ht="23.25">
      <c r="A48" s="30"/>
      <c r="B48" s="30"/>
      <c r="C48" s="30"/>
      <c r="D48" s="30"/>
      <c r="E48" s="30"/>
    </row>
    <row r="49" spans="1:5" ht="23.25">
      <c r="A49" s="30"/>
      <c r="B49" s="30"/>
      <c r="C49" s="30"/>
      <c r="D49" s="30"/>
      <c r="E49" s="30"/>
    </row>
    <row r="50" spans="1:5" ht="23.25">
      <c r="A50" s="30"/>
      <c r="B50" s="30"/>
      <c r="C50" s="30"/>
      <c r="D50" s="30"/>
      <c r="E50" s="30"/>
    </row>
    <row r="51" spans="1:5" ht="23.25">
      <c r="A51" s="30"/>
      <c r="B51" s="30"/>
      <c r="C51" s="30"/>
      <c r="D51" s="30"/>
      <c r="E51" s="30"/>
    </row>
    <row r="52" spans="1:5" ht="23.25">
      <c r="A52" s="30"/>
      <c r="B52" s="30"/>
      <c r="C52" s="30"/>
      <c r="D52" s="30"/>
      <c r="E52" s="30"/>
    </row>
    <row r="53" spans="1:5" ht="23.25">
      <c r="A53" s="30"/>
      <c r="B53" s="30"/>
      <c r="C53" s="30"/>
      <c r="D53" s="30"/>
      <c r="E53" s="30"/>
    </row>
    <row r="54" spans="1:5" ht="23.25">
      <c r="A54" s="30"/>
      <c r="B54" s="30"/>
      <c r="C54" s="30"/>
      <c r="D54" s="30"/>
      <c r="E54" s="30"/>
    </row>
    <row r="55" spans="1:5" ht="23.25">
      <c r="A55" s="30"/>
      <c r="B55" s="30"/>
      <c r="C55" s="30"/>
      <c r="D55" s="30"/>
      <c r="E55" s="30"/>
    </row>
    <row r="56" spans="1:5" ht="23.25">
      <c r="A56" s="30"/>
      <c r="B56" s="30"/>
      <c r="C56" s="30"/>
      <c r="D56" s="30"/>
      <c r="E56" s="30"/>
    </row>
    <row r="57" spans="1:5" ht="23.25">
      <c r="A57" s="30"/>
      <c r="B57" s="30"/>
      <c r="C57" s="30"/>
      <c r="D57" s="30"/>
      <c r="E57" s="30"/>
    </row>
    <row r="58" spans="1:5" ht="23.25">
      <c r="A58" s="30"/>
      <c r="B58" s="30"/>
      <c r="C58" s="30"/>
      <c r="D58" s="30"/>
      <c r="E58" s="30"/>
    </row>
    <row r="59" spans="1:5" ht="23.25">
      <c r="A59" s="30"/>
      <c r="B59" s="30"/>
      <c r="C59" s="30"/>
      <c r="D59" s="30"/>
      <c r="E59" s="30"/>
    </row>
    <row r="60" spans="1:5" ht="23.25">
      <c r="A60" s="30"/>
      <c r="B60" s="30"/>
      <c r="C60" s="30"/>
      <c r="D60" s="30"/>
      <c r="E60" s="30"/>
    </row>
    <row r="61" spans="1:5" ht="23.25">
      <c r="A61" s="30"/>
      <c r="B61" s="30"/>
      <c r="C61" s="30"/>
      <c r="D61" s="30"/>
      <c r="E61" s="30"/>
    </row>
    <row r="62" spans="1:5" ht="23.25">
      <c r="A62" s="30"/>
      <c r="B62" s="30"/>
      <c r="C62" s="30"/>
      <c r="D62" s="30"/>
      <c r="E62" s="30"/>
    </row>
    <row r="63" spans="1:5" ht="23.25">
      <c r="A63" s="30"/>
      <c r="B63" s="30"/>
      <c r="C63" s="30"/>
      <c r="D63" s="30"/>
      <c r="E63" s="30"/>
    </row>
    <row r="64" spans="1:5" ht="23.25">
      <c r="A64" s="30"/>
      <c r="B64" s="30"/>
      <c r="C64" s="30"/>
      <c r="D64" s="30"/>
      <c r="E64" s="30"/>
    </row>
    <row r="65" spans="1:5" ht="23.25">
      <c r="A65" s="30"/>
      <c r="B65" s="30"/>
      <c r="C65" s="30"/>
      <c r="D65" s="30"/>
      <c r="E65" s="30"/>
    </row>
    <row r="66" spans="1:5" ht="23.25">
      <c r="A66" s="30"/>
      <c r="B66" s="30"/>
      <c r="C66" s="30"/>
      <c r="D66" s="30"/>
      <c r="E66" s="30"/>
    </row>
  </sheetData>
  <sheetProtection/>
  <mergeCells count="8">
    <mergeCell ref="A1:E1"/>
    <mergeCell ref="A2:E2"/>
    <mergeCell ref="A3:D3"/>
    <mergeCell ref="A4:D4"/>
    <mergeCell ref="A22:D22"/>
    <mergeCell ref="A19:E19"/>
    <mergeCell ref="A20:E20"/>
    <mergeCell ref="A21:D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9" sqref="A19:IV29"/>
    </sheetView>
  </sheetViews>
  <sheetFormatPr defaultColWidth="9.140625" defaultRowHeight="12.75"/>
  <cols>
    <col min="1" max="1" width="40.140625" style="13" customWidth="1"/>
    <col min="2" max="2" width="12.00390625" style="13" customWidth="1"/>
    <col min="3" max="3" width="11.00390625" style="13" customWidth="1"/>
    <col min="4" max="4" width="11.28125" style="13" customWidth="1"/>
    <col min="5" max="5" width="12.140625" style="13" customWidth="1"/>
    <col min="6" max="6" width="10.140625" style="13" customWidth="1"/>
    <col min="7" max="16384" width="9.140625" style="13" customWidth="1"/>
  </cols>
  <sheetData>
    <row r="1" spans="1:6" ht="16.5">
      <c r="A1" s="229" t="s">
        <v>107</v>
      </c>
      <c r="B1" s="229"/>
      <c r="C1" s="229"/>
      <c r="D1" s="229"/>
      <c r="E1" s="229"/>
      <c r="F1" s="229"/>
    </row>
    <row r="2" spans="1:6" ht="16.5">
      <c r="A2" s="229" t="s">
        <v>198</v>
      </c>
      <c r="B2" s="229"/>
      <c r="C2" s="229"/>
      <c r="D2" s="229"/>
      <c r="E2" s="229"/>
      <c r="F2" s="229"/>
    </row>
    <row r="3" spans="1:6" ht="16.5">
      <c r="A3" s="229"/>
      <c r="B3" s="229"/>
      <c r="C3" s="229"/>
      <c r="D3" s="229"/>
      <c r="E3" s="229"/>
      <c r="F3" s="229"/>
    </row>
    <row r="4" spans="1:6" ht="16.5">
      <c r="A4" s="230" t="s">
        <v>346</v>
      </c>
      <c r="B4" s="230"/>
      <c r="C4" s="230"/>
      <c r="D4" s="230"/>
      <c r="E4" s="230"/>
      <c r="F4" s="230"/>
    </row>
    <row r="5" spans="1:6" ht="16.5">
      <c r="A5" s="25"/>
      <c r="B5" s="205"/>
      <c r="C5" s="205"/>
      <c r="D5" s="25"/>
      <c r="E5" s="25"/>
      <c r="F5" s="25"/>
    </row>
    <row r="6" spans="1:6" ht="16.5">
      <c r="A6" s="225" t="s">
        <v>84</v>
      </c>
      <c r="B6" s="227" t="s">
        <v>154</v>
      </c>
      <c r="C6" s="228"/>
      <c r="D6" s="225" t="s">
        <v>311</v>
      </c>
      <c r="E6" s="225" t="s">
        <v>6</v>
      </c>
      <c r="F6" s="225" t="s">
        <v>155</v>
      </c>
    </row>
    <row r="7" spans="1:6" ht="16.5">
      <c r="A7" s="226"/>
      <c r="B7" s="16" t="s">
        <v>312</v>
      </c>
      <c r="C7" s="16" t="s">
        <v>313</v>
      </c>
      <c r="D7" s="226"/>
      <c r="E7" s="226"/>
      <c r="F7" s="226"/>
    </row>
    <row r="8" spans="1:6" ht="16.5">
      <c r="A8" s="17" t="s">
        <v>314</v>
      </c>
      <c r="B8" s="197">
        <v>5340</v>
      </c>
      <c r="C8" s="18">
        <v>0</v>
      </c>
      <c r="D8" s="19">
        <v>5340</v>
      </c>
      <c r="E8" s="21">
        <f aca="true" t="shared" si="0" ref="E8:E14">SUM(B8+C8-D8)</f>
        <v>0</v>
      </c>
      <c r="F8" s="198"/>
    </row>
    <row r="9" spans="1:6" ht="16.5">
      <c r="A9" s="20" t="s">
        <v>315</v>
      </c>
      <c r="B9" s="199">
        <v>289268.22</v>
      </c>
      <c r="C9" s="200">
        <v>0</v>
      </c>
      <c r="D9" s="201">
        <v>289268.22</v>
      </c>
      <c r="E9" s="21">
        <f t="shared" si="0"/>
        <v>0</v>
      </c>
      <c r="F9" s="202"/>
    </row>
    <row r="10" spans="1:6" ht="16.5">
      <c r="A10" s="20" t="s">
        <v>316</v>
      </c>
      <c r="B10" s="199">
        <v>6000</v>
      </c>
      <c r="C10" s="21">
        <v>0</v>
      </c>
      <c r="D10" s="22">
        <v>6000</v>
      </c>
      <c r="E10" s="21">
        <f t="shared" si="0"/>
        <v>0</v>
      </c>
      <c r="F10" s="202"/>
    </row>
    <row r="11" spans="1:6" ht="16.5">
      <c r="A11" s="20" t="s">
        <v>317</v>
      </c>
      <c r="B11" s="199">
        <v>64000</v>
      </c>
      <c r="C11" s="199">
        <v>0</v>
      </c>
      <c r="D11" s="22">
        <v>64000</v>
      </c>
      <c r="E11" s="21">
        <f t="shared" si="0"/>
        <v>0</v>
      </c>
      <c r="F11" s="202"/>
    </row>
    <row r="12" spans="1:6" ht="16.5">
      <c r="A12" s="20" t="s">
        <v>318</v>
      </c>
      <c r="B12" s="199">
        <v>1800</v>
      </c>
      <c r="C12" s="199">
        <v>0</v>
      </c>
      <c r="D12" s="22">
        <v>1800</v>
      </c>
      <c r="E12" s="21">
        <f t="shared" si="0"/>
        <v>0</v>
      </c>
      <c r="F12" s="202"/>
    </row>
    <row r="13" spans="1:6" ht="16.5">
      <c r="A13" s="20" t="s">
        <v>319</v>
      </c>
      <c r="B13" s="199">
        <v>54300</v>
      </c>
      <c r="C13" s="199">
        <v>0</v>
      </c>
      <c r="D13" s="22">
        <v>54300</v>
      </c>
      <c r="E13" s="21">
        <f t="shared" si="0"/>
        <v>0</v>
      </c>
      <c r="F13" s="202"/>
    </row>
    <row r="14" spans="1:6" ht="16.5">
      <c r="A14" s="20" t="s">
        <v>320</v>
      </c>
      <c r="B14" s="199">
        <v>25500</v>
      </c>
      <c r="C14" s="199">
        <v>0</v>
      </c>
      <c r="D14" s="22">
        <v>25500</v>
      </c>
      <c r="E14" s="21">
        <f t="shared" si="0"/>
        <v>0</v>
      </c>
      <c r="F14" s="202"/>
    </row>
    <row r="15" spans="1:6" ht="16.5">
      <c r="A15" s="20" t="s">
        <v>321</v>
      </c>
      <c r="B15" s="199">
        <v>31400</v>
      </c>
      <c r="C15" s="199">
        <v>0</v>
      </c>
      <c r="D15" s="22">
        <v>31400</v>
      </c>
      <c r="E15" s="21">
        <f>SUM(B15+C15-D15)</f>
        <v>0</v>
      </c>
      <c r="F15" s="202"/>
    </row>
    <row r="16" spans="1:6" ht="16.5">
      <c r="A16" s="20" t="s">
        <v>322</v>
      </c>
      <c r="B16" s="199">
        <v>22400</v>
      </c>
      <c r="C16" s="199">
        <v>0</v>
      </c>
      <c r="D16" s="22">
        <v>22400</v>
      </c>
      <c r="E16" s="21">
        <f>SUM(B16+C16-D16)</f>
        <v>0</v>
      </c>
      <c r="F16" s="202"/>
    </row>
    <row r="17" spans="1:6" ht="16.5">
      <c r="A17" s="57" t="s">
        <v>329</v>
      </c>
      <c r="B17" s="23">
        <v>1000000</v>
      </c>
      <c r="C17" s="199">
        <v>0</v>
      </c>
      <c r="D17" s="22">
        <v>0</v>
      </c>
      <c r="E17" s="21">
        <f>SUM(B17+C17-D17)</f>
        <v>1000000</v>
      </c>
      <c r="F17" s="202"/>
    </row>
    <row r="18" spans="1:6" ht="17.25" thickBot="1">
      <c r="A18" s="196" t="s">
        <v>153</v>
      </c>
      <c r="B18" s="24">
        <f>SUM(B8:B17)</f>
        <v>1500008.22</v>
      </c>
      <c r="C18" s="24">
        <f>SUM(C8:C17)</f>
        <v>0</v>
      </c>
      <c r="D18" s="24">
        <f>SUM(D8:D17)</f>
        <v>500008.22</v>
      </c>
      <c r="E18" s="203">
        <f>SUM(E8:E17)</f>
        <v>1000000</v>
      </c>
      <c r="F18" s="204"/>
    </row>
    <row r="19" ht="17.25" thickTop="1"/>
  </sheetData>
  <sheetProtection/>
  <mergeCells count="9">
    <mergeCell ref="F6:F7"/>
    <mergeCell ref="B6:C6"/>
    <mergeCell ref="D6:D7"/>
    <mergeCell ref="A1:F1"/>
    <mergeCell ref="A2:F2"/>
    <mergeCell ref="A3:F3"/>
    <mergeCell ref="A4:F4"/>
    <mergeCell ref="A6:A7"/>
    <mergeCell ref="E6:E7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4">
      <selection activeCell="E55" sqref="E55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5" ht="23.25">
      <c r="A1" s="43"/>
      <c r="B1" s="43"/>
      <c r="C1" s="43"/>
      <c r="D1" s="43"/>
      <c r="E1" s="30"/>
    </row>
    <row r="2" spans="1:4" ht="23.25">
      <c r="A2" s="26" t="s">
        <v>158</v>
      </c>
      <c r="B2" s="27"/>
      <c r="C2" s="27"/>
      <c r="D2" s="28"/>
    </row>
    <row r="3" spans="1:4" ht="23.25">
      <c r="A3" s="29"/>
      <c r="B3" s="30"/>
      <c r="C3" s="30" t="s">
        <v>285</v>
      </c>
      <c r="D3" s="31"/>
    </row>
    <row r="4" spans="1:4" ht="31.5">
      <c r="A4" s="32" t="s">
        <v>159</v>
      </c>
      <c r="B4" s="33"/>
      <c r="C4" s="33"/>
      <c r="D4" s="34"/>
    </row>
    <row r="5" spans="1:4" ht="23.25">
      <c r="A5" s="29"/>
      <c r="B5" s="30"/>
      <c r="C5" s="30" t="s">
        <v>326</v>
      </c>
      <c r="D5" s="31"/>
    </row>
    <row r="6" spans="1:4" ht="23.25">
      <c r="A6" s="29" t="s">
        <v>347</v>
      </c>
      <c r="B6" s="30"/>
      <c r="C6" s="30"/>
      <c r="D6" s="35">
        <v>7836220.91</v>
      </c>
    </row>
    <row r="7" spans="1:4" ht="23.25">
      <c r="A7" s="29" t="s">
        <v>160</v>
      </c>
      <c r="B7" s="30"/>
      <c r="C7" s="30"/>
      <c r="D7" s="36"/>
    </row>
    <row r="8" spans="1:4" ht="23.25">
      <c r="A8" s="37" t="s">
        <v>161</v>
      </c>
      <c r="B8" s="38" t="s">
        <v>162</v>
      </c>
      <c r="C8" s="38" t="s">
        <v>154</v>
      </c>
      <c r="D8" s="36"/>
    </row>
    <row r="9" spans="1:4" ht="23.25">
      <c r="A9" s="42"/>
      <c r="B9" s="176"/>
      <c r="C9" s="30"/>
      <c r="D9" s="36"/>
    </row>
    <row r="10" spans="1:4" ht="23.25">
      <c r="A10" s="39"/>
      <c r="B10" s="40"/>
      <c r="C10" s="40"/>
      <c r="D10" s="41"/>
    </row>
    <row r="11" spans="1:4" ht="23.25">
      <c r="A11" s="29" t="s">
        <v>163</v>
      </c>
      <c r="B11" s="30"/>
      <c r="C11" s="30"/>
      <c r="D11" s="36"/>
    </row>
    <row r="12" spans="1:4" ht="23.25">
      <c r="A12" s="37" t="s">
        <v>164</v>
      </c>
      <c r="B12" s="38" t="s">
        <v>165</v>
      </c>
      <c r="C12" s="38" t="s">
        <v>154</v>
      </c>
      <c r="D12" s="36"/>
    </row>
    <row r="13" spans="1:4" ht="23.25">
      <c r="A13" s="179"/>
      <c r="B13" s="106"/>
      <c r="C13" s="178"/>
      <c r="D13" s="103"/>
    </row>
    <row r="14" spans="1:4" ht="23.25">
      <c r="A14" s="179"/>
      <c r="B14" s="107"/>
      <c r="C14" s="44"/>
      <c r="D14" s="103"/>
    </row>
    <row r="15" spans="1:4" ht="23.25">
      <c r="A15" s="179"/>
      <c r="B15" s="106"/>
      <c r="C15" s="47"/>
      <c r="D15" s="41">
        <f>SUM(C15)</f>
        <v>0</v>
      </c>
    </row>
    <row r="16" spans="1:4" ht="23.25">
      <c r="A16" s="179"/>
      <c r="B16" s="177"/>
      <c r="C16" s="47"/>
      <c r="D16" s="36">
        <f>SUM(C16)</f>
        <v>0</v>
      </c>
    </row>
    <row r="17" spans="1:4" ht="23.25">
      <c r="A17" s="179"/>
      <c r="B17" s="107"/>
      <c r="C17" s="47"/>
      <c r="D17" s="41">
        <f>SUM(C17)</f>
        <v>0</v>
      </c>
    </row>
    <row r="18" spans="1:4" ht="23.25">
      <c r="A18" s="179"/>
      <c r="B18" s="106"/>
      <c r="C18" s="47"/>
      <c r="D18" s="41">
        <f>SUM(C18)</f>
        <v>0</v>
      </c>
    </row>
    <row r="19" spans="1:4" ht="23.25">
      <c r="A19" s="45" t="s">
        <v>166</v>
      </c>
      <c r="B19" s="46"/>
      <c r="C19" s="47"/>
      <c r="D19" s="41"/>
    </row>
    <row r="20" spans="1:4" ht="23.25">
      <c r="A20" s="29" t="s">
        <v>167</v>
      </c>
      <c r="B20" s="30"/>
      <c r="C20" s="30"/>
      <c r="D20" s="36"/>
    </row>
    <row r="21" spans="1:4" ht="23.25">
      <c r="A21" s="29" t="s">
        <v>338</v>
      </c>
      <c r="B21" s="30"/>
      <c r="C21" s="30"/>
      <c r="D21" s="36"/>
    </row>
    <row r="22" spans="1:4" ht="23.25">
      <c r="A22" s="37" t="s">
        <v>164</v>
      </c>
      <c r="B22" s="38" t="s">
        <v>165</v>
      </c>
      <c r="C22" s="38" t="s">
        <v>154</v>
      </c>
      <c r="D22" s="36"/>
    </row>
    <row r="23" spans="1:4" ht="23.25">
      <c r="A23" s="42"/>
      <c r="B23" s="43"/>
      <c r="C23" s="44"/>
      <c r="D23" s="103">
        <f>SUM(C23)</f>
        <v>0</v>
      </c>
    </row>
    <row r="24" spans="1:5" ht="23.25">
      <c r="A24" s="50"/>
      <c r="B24" s="46"/>
      <c r="C24" s="51"/>
      <c r="D24" s="41"/>
      <c r="E24" s="56"/>
    </row>
    <row r="25" spans="1:4" ht="23.25">
      <c r="A25" s="52" t="s">
        <v>351</v>
      </c>
      <c r="B25" s="53"/>
      <c r="C25" s="30"/>
      <c r="D25" s="36">
        <f>SUM(D6-D23)</f>
        <v>7836220.91</v>
      </c>
    </row>
    <row r="26" spans="1:4" ht="23.25">
      <c r="A26" s="29" t="s">
        <v>168</v>
      </c>
      <c r="B26" s="30"/>
      <c r="C26" s="54" t="s">
        <v>169</v>
      </c>
      <c r="D26" s="28"/>
    </row>
    <row r="27" spans="1:4" ht="23.25">
      <c r="A27" s="29"/>
      <c r="B27" s="30"/>
      <c r="C27" s="29"/>
      <c r="D27" s="31"/>
    </row>
    <row r="28" spans="1:5" ht="23.25">
      <c r="A28" s="29" t="s">
        <v>170</v>
      </c>
      <c r="B28" s="30" t="s">
        <v>349</v>
      </c>
      <c r="C28" s="29" t="s">
        <v>171</v>
      </c>
      <c r="D28" s="30" t="s">
        <v>349</v>
      </c>
      <c r="E28" s="29"/>
    </row>
    <row r="29" spans="1:4" ht="23.25">
      <c r="A29" s="231" t="s">
        <v>325</v>
      </c>
      <c r="B29" s="232"/>
      <c r="C29" s="231" t="s">
        <v>324</v>
      </c>
      <c r="D29" s="232"/>
    </row>
    <row r="30" spans="1:4" ht="23.25">
      <c r="A30" s="43"/>
      <c r="B30" s="43"/>
      <c r="C30" s="43"/>
      <c r="D30" s="43"/>
    </row>
    <row r="32" spans="1:4" ht="23.25">
      <c r="A32" s="26" t="s">
        <v>158</v>
      </c>
      <c r="B32" s="27"/>
      <c r="C32" s="27"/>
      <c r="D32" s="28"/>
    </row>
    <row r="33" spans="1:4" ht="23.25">
      <c r="A33" s="29"/>
      <c r="B33" s="30"/>
      <c r="C33" s="30" t="s">
        <v>285</v>
      </c>
      <c r="D33" s="31"/>
    </row>
    <row r="34" spans="1:4" s="55" customFormat="1" ht="31.5">
      <c r="A34" s="32" t="s">
        <v>159</v>
      </c>
      <c r="B34" s="33"/>
      <c r="C34" s="33"/>
      <c r="D34" s="34"/>
    </row>
    <row r="35" spans="1:4" ht="23.25">
      <c r="A35" s="29"/>
      <c r="B35" s="30"/>
      <c r="C35" s="30" t="s">
        <v>328</v>
      </c>
      <c r="D35" s="31"/>
    </row>
    <row r="36" spans="1:5" ht="23.25">
      <c r="A36" s="29" t="s">
        <v>347</v>
      </c>
      <c r="B36" s="30"/>
      <c r="C36" s="30"/>
      <c r="D36" s="35">
        <v>0</v>
      </c>
      <c r="E36" s="2"/>
    </row>
    <row r="37" spans="1:4" ht="23.25">
      <c r="A37" s="29" t="s">
        <v>160</v>
      </c>
      <c r="B37" s="30"/>
      <c r="C37" s="30"/>
      <c r="D37" s="36"/>
    </row>
    <row r="38" spans="1:4" ht="23.25">
      <c r="A38" s="37" t="s">
        <v>161</v>
      </c>
      <c r="B38" s="38" t="s">
        <v>162</v>
      </c>
      <c r="C38" s="38" t="s">
        <v>154</v>
      </c>
      <c r="D38" s="36"/>
    </row>
    <row r="39" spans="1:5" ht="23.25">
      <c r="A39" s="42"/>
      <c r="B39" s="176"/>
      <c r="C39" s="30"/>
      <c r="D39" s="36"/>
      <c r="E39" s="30"/>
    </row>
    <row r="40" spans="1:5" ht="23.25">
      <c r="A40" s="39"/>
      <c r="B40" s="40"/>
      <c r="C40" s="40"/>
      <c r="D40" s="41"/>
      <c r="E40" s="30"/>
    </row>
    <row r="41" spans="1:4" ht="23.25">
      <c r="A41" s="29" t="s">
        <v>163</v>
      </c>
      <c r="B41" s="30"/>
      <c r="C41" s="30"/>
      <c r="D41" s="36"/>
    </row>
    <row r="42" spans="1:4" ht="23.25">
      <c r="A42" s="37" t="s">
        <v>164</v>
      </c>
      <c r="B42" s="38" t="s">
        <v>165</v>
      </c>
      <c r="C42" s="38" t="s">
        <v>154</v>
      </c>
      <c r="D42" s="36"/>
    </row>
    <row r="43" spans="1:4" ht="23.25">
      <c r="A43" s="179"/>
      <c r="B43" s="106"/>
      <c r="C43" s="178"/>
      <c r="D43" s="103">
        <v>0</v>
      </c>
    </row>
    <row r="44" spans="1:4" ht="23.25">
      <c r="A44" s="179"/>
      <c r="B44" s="107"/>
      <c r="C44" s="44"/>
      <c r="D44" s="103">
        <v>0</v>
      </c>
    </row>
    <row r="45" spans="1:4" ht="23.25">
      <c r="A45" s="179"/>
      <c r="B45" s="106"/>
      <c r="C45" s="47"/>
      <c r="D45" s="41">
        <f>SUM(C45)</f>
        <v>0</v>
      </c>
    </row>
    <row r="46" spans="1:4" ht="23.25">
      <c r="A46" s="179"/>
      <c r="B46" s="177"/>
      <c r="C46" s="47"/>
      <c r="D46" s="36">
        <f>SUM(C46)</f>
        <v>0</v>
      </c>
    </row>
    <row r="47" spans="1:4" ht="23.25">
      <c r="A47" s="179"/>
      <c r="B47" s="107"/>
      <c r="C47" s="47"/>
      <c r="D47" s="41">
        <f>SUM(C47)</f>
        <v>0</v>
      </c>
    </row>
    <row r="48" spans="1:5" ht="23.25">
      <c r="A48" s="179"/>
      <c r="B48" s="106"/>
      <c r="C48" s="47"/>
      <c r="D48" s="41">
        <f>SUM(C48)</f>
        <v>0</v>
      </c>
      <c r="E48" s="56"/>
    </row>
    <row r="49" spans="1:5" ht="23.25">
      <c r="A49" s="45" t="s">
        <v>166</v>
      </c>
      <c r="B49" s="46"/>
      <c r="C49" s="47"/>
      <c r="D49" s="41"/>
      <c r="E49" s="30"/>
    </row>
    <row r="50" spans="1:5" ht="23.25">
      <c r="A50" s="29" t="s">
        <v>167</v>
      </c>
      <c r="B50" s="30"/>
      <c r="C50" s="30"/>
      <c r="D50" s="36"/>
      <c r="E50" s="30"/>
    </row>
    <row r="51" spans="1:5" ht="23.25">
      <c r="A51" s="29" t="s">
        <v>327</v>
      </c>
      <c r="B51" s="30"/>
      <c r="C51" s="30"/>
      <c r="D51" s="36">
        <v>0</v>
      </c>
      <c r="E51" s="30"/>
    </row>
    <row r="52" spans="1:5" ht="23.25">
      <c r="A52" s="48"/>
      <c r="B52" s="49"/>
      <c r="C52" s="49"/>
      <c r="D52" s="41"/>
      <c r="E52" s="30"/>
    </row>
    <row r="53" spans="1:5" ht="23.25">
      <c r="A53" s="126"/>
      <c r="B53" s="43"/>
      <c r="C53" s="44"/>
      <c r="D53" s="36">
        <f>SUM(C53)</f>
        <v>0</v>
      </c>
      <c r="E53" s="30"/>
    </row>
    <row r="54" spans="1:5" ht="23.25">
      <c r="A54" s="50"/>
      <c r="B54" s="46"/>
      <c r="C54" s="51"/>
      <c r="D54" s="41"/>
      <c r="E54" s="30"/>
    </row>
    <row r="55" spans="1:5" ht="23.25">
      <c r="A55" s="52" t="s">
        <v>350</v>
      </c>
      <c r="B55" s="53"/>
      <c r="C55" s="30"/>
      <c r="D55" s="36">
        <f>SUM(D36-D51)</f>
        <v>0</v>
      </c>
      <c r="E55" s="191"/>
    </row>
    <row r="56" spans="1:5" ht="23.25">
      <c r="A56" s="29" t="s">
        <v>168</v>
      </c>
      <c r="B56" s="30"/>
      <c r="C56" s="54" t="s">
        <v>169</v>
      </c>
      <c r="D56" s="28"/>
      <c r="E56" s="195"/>
    </row>
    <row r="57" spans="1:5" ht="23.25">
      <c r="A57" s="29"/>
      <c r="B57" s="30"/>
      <c r="C57" s="29"/>
      <c r="D57" s="31"/>
      <c r="E57" s="191"/>
    </row>
    <row r="58" spans="1:5" ht="23.25">
      <c r="A58" s="29" t="s">
        <v>170</v>
      </c>
      <c r="B58" s="30" t="s">
        <v>349</v>
      </c>
      <c r="C58" s="29" t="s">
        <v>171</v>
      </c>
      <c r="D58" s="30" t="s">
        <v>349</v>
      </c>
      <c r="E58" s="30"/>
    </row>
    <row r="59" spans="1:5" ht="23.25">
      <c r="A59" s="231" t="s">
        <v>325</v>
      </c>
      <c r="B59" s="232"/>
      <c r="C59" s="231" t="s">
        <v>324</v>
      </c>
      <c r="D59" s="232"/>
      <c r="E59" s="30"/>
    </row>
    <row r="62" spans="1:4" ht="23.25">
      <c r="A62" s="26" t="s">
        <v>158</v>
      </c>
      <c r="B62" s="27"/>
      <c r="C62" s="27"/>
      <c r="D62" s="28"/>
    </row>
    <row r="63" spans="1:4" ht="23.25">
      <c r="A63" s="29"/>
      <c r="B63" s="30"/>
      <c r="C63" s="30" t="s">
        <v>282</v>
      </c>
      <c r="D63" s="31"/>
    </row>
    <row r="64" spans="1:4" s="55" customFormat="1" ht="31.5">
      <c r="A64" s="32" t="s">
        <v>159</v>
      </c>
      <c r="B64" s="33"/>
      <c r="C64" s="33"/>
      <c r="D64" s="34"/>
    </row>
    <row r="65" spans="1:4" ht="23.25">
      <c r="A65" s="29"/>
      <c r="B65" s="30"/>
      <c r="C65" s="30" t="s">
        <v>303</v>
      </c>
      <c r="D65" s="31"/>
    </row>
    <row r="66" spans="1:5" ht="23.25">
      <c r="A66" s="29" t="s">
        <v>347</v>
      </c>
      <c r="B66" s="30"/>
      <c r="C66" s="30"/>
      <c r="D66" s="35">
        <v>15206522.99</v>
      </c>
      <c r="E66" s="2"/>
    </row>
    <row r="67" spans="1:4" ht="23.25">
      <c r="A67" s="29" t="s">
        <v>160</v>
      </c>
      <c r="B67" s="30"/>
      <c r="C67" s="30"/>
      <c r="D67" s="36"/>
    </row>
    <row r="68" spans="1:4" ht="23.25">
      <c r="A68" s="37" t="s">
        <v>161</v>
      </c>
      <c r="B68" s="38" t="s">
        <v>162</v>
      </c>
      <c r="C68" s="38" t="s">
        <v>154</v>
      </c>
      <c r="D68" s="36"/>
    </row>
    <row r="69" spans="1:5" ht="23.25">
      <c r="A69" s="29"/>
      <c r="B69" s="30"/>
      <c r="C69" s="30"/>
      <c r="D69" s="36"/>
      <c r="E69" s="30"/>
    </row>
    <row r="70" spans="1:5" ht="23.25">
      <c r="A70" s="39"/>
      <c r="B70" s="40"/>
      <c r="C70" s="40"/>
      <c r="D70" s="41"/>
      <c r="E70" s="30"/>
    </row>
    <row r="71" spans="1:4" ht="23.25">
      <c r="A71" s="29" t="s">
        <v>163</v>
      </c>
      <c r="B71" s="30"/>
      <c r="C71" s="30"/>
      <c r="D71" s="36"/>
    </row>
    <row r="72" spans="1:4" ht="23.25">
      <c r="A72" s="37" t="s">
        <v>164</v>
      </c>
      <c r="B72" s="38" t="s">
        <v>165</v>
      </c>
      <c r="C72" s="38" t="s">
        <v>154</v>
      </c>
      <c r="D72" s="36"/>
    </row>
    <row r="73" spans="1:4" ht="23.25">
      <c r="A73" s="179" t="s">
        <v>354</v>
      </c>
      <c r="B73" s="187" t="s">
        <v>359</v>
      </c>
      <c r="C73" s="44">
        <v>2200</v>
      </c>
      <c r="D73" s="103">
        <f>SUM(C73)</f>
        <v>2200</v>
      </c>
    </row>
    <row r="74" spans="1:4" ht="23.25">
      <c r="A74" s="179" t="s">
        <v>354</v>
      </c>
      <c r="B74" s="187" t="s">
        <v>355</v>
      </c>
      <c r="C74" s="47">
        <v>2142</v>
      </c>
      <c r="D74" s="41">
        <f>SUM(C74)</f>
        <v>2142</v>
      </c>
    </row>
    <row r="75" spans="1:4" ht="23.25">
      <c r="A75" s="179" t="s">
        <v>354</v>
      </c>
      <c r="B75" s="187" t="s">
        <v>356</v>
      </c>
      <c r="C75" s="47">
        <v>2162</v>
      </c>
      <c r="D75" s="36">
        <f>SUM(C75)</f>
        <v>2162</v>
      </c>
    </row>
    <row r="76" spans="1:4" ht="23.25">
      <c r="A76" s="179" t="s">
        <v>354</v>
      </c>
      <c r="B76" s="187" t="s">
        <v>357</v>
      </c>
      <c r="C76" s="47">
        <v>2292</v>
      </c>
      <c r="D76" s="41">
        <f>SUM(C76)</f>
        <v>2292</v>
      </c>
    </row>
    <row r="77" spans="1:4" ht="23.25">
      <c r="A77" s="179"/>
      <c r="B77" s="106"/>
      <c r="C77" s="47"/>
      <c r="D77" s="41"/>
    </row>
    <row r="78" spans="1:5" ht="23.25">
      <c r="A78" s="45"/>
      <c r="B78" s="46"/>
      <c r="C78" s="47"/>
      <c r="D78" s="36"/>
      <c r="E78" s="56"/>
    </row>
    <row r="79" spans="1:5" ht="23.25">
      <c r="A79" s="45" t="s">
        <v>166</v>
      </c>
      <c r="B79" s="46"/>
      <c r="C79" s="47"/>
      <c r="D79" s="41"/>
      <c r="E79" s="191"/>
    </row>
    <row r="80" spans="1:5" ht="23.25">
      <c r="A80" s="29" t="s">
        <v>167</v>
      </c>
      <c r="B80" s="30"/>
      <c r="C80" s="30"/>
      <c r="D80" s="36"/>
      <c r="E80" s="30"/>
    </row>
    <row r="81" spans="1:5" ht="23.25">
      <c r="A81" s="29" t="s">
        <v>327</v>
      </c>
      <c r="B81" s="30"/>
      <c r="C81" s="30"/>
      <c r="D81" s="36"/>
      <c r="E81" s="30"/>
    </row>
    <row r="82" spans="1:5" ht="23.25">
      <c r="A82" s="48"/>
      <c r="B82" s="49"/>
      <c r="C82" s="49"/>
      <c r="D82" s="41"/>
      <c r="E82" s="30"/>
    </row>
    <row r="83" spans="1:5" ht="23.25">
      <c r="A83" s="42"/>
      <c r="B83" s="106"/>
      <c r="C83" s="44"/>
      <c r="D83" s="36"/>
      <c r="E83" s="30"/>
    </row>
    <row r="84" spans="1:5" ht="23.25">
      <c r="A84" s="50"/>
      <c r="B84" s="107"/>
      <c r="C84" s="51"/>
      <c r="D84" s="41"/>
      <c r="E84" s="30"/>
    </row>
    <row r="85" spans="1:5" ht="23.25">
      <c r="A85" s="52" t="s">
        <v>348</v>
      </c>
      <c r="B85" s="53"/>
      <c r="C85" s="30"/>
      <c r="D85" s="36">
        <f>SUM(D66-D73-D74-D75-D76)</f>
        <v>15197726.99</v>
      </c>
      <c r="E85" s="191"/>
    </row>
    <row r="86" spans="1:5" ht="23.25">
      <c r="A86" s="29" t="s">
        <v>168</v>
      </c>
      <c r="B86" s="30"/>
      <c r="C86" s="54" t="s">
        <v>169</v>
      </c>
      <c r="D86" s="28"/>
      <c r="E86" s="30"/>
    </row>
    <row r="87" spans="1:5" ht="23.25">
      <c r="A87" s="29"/>
      <c r="B87" s="30"/>
      <c r="C87" s="29"/>
      <c r="D87" s="31"/>
      <c r="E87" s="30"/>
    </row>
    <row r="88" spans="1:5" ht="23.25">
      <c r="A88" s="29" t="s">
        <v>170</v>
      </c>
      <c r="B88" s="30" t="s">
        <v>349</v>
      </c>
      <c r="C88" s="29" t="s">
        <v>171</v>
      </c>
      <c r="D88" s="31" t="s">
        <v>349</v>
      </c>
      <c r="E88" s="30"/>
    </row>
    <row r="89" spans="1:5" ht="23.25">
      <c r="A89" s="231" t="s">
        <v>358</v>
      </c>
      <c r="B89" s="232"/>
      <c r="C89" s="233" t="s">
        <v>323</v>
      </c>
      <c r="D89" s="234"/>
      <c r="E89" s="30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A93" sqref="A93:IV113"/>
    </sheetView>
  </sheetViews>
  <sheetFormatPr defaultColWidth="9.140625" defaultRowHeight="12.75"/>
  <cols>
    <col min="1" max="1" width="14.421875" style="128" customWidth="1"/>
    <col min="2" max="2" width="15.7109375" style="128" customWidth="1"/>
    <col min="3" max="3" width="37.7109375" style="128" customWidth="1"/>
    <col min="4" max="4" width="12.28125" style="174" customWidth="1"/>
    <col min="5" max="5" width="18.7109375" style="128" customWidth="1"/>
    <col min="6" max="6" width="11.28125" style="128" customWidth="1"/>
    <col min="7" max="7" width="13.8515625" style="128" customWidth="1"/>
    <col min="8" max="8" width="18.00390625" style="128" customWidth="1"/>
    <col min="9" max="9" width="19.421875" style="129" customWidth="1"/>
    <col min="10" max="10" width="18.8515625" style="128" customWidth="1"/>
    <col min="11" max="11" width="17.140625" style="128" customWidth="1"/>
    <col min="12" max="12" width="11.7109375" style="128" bestFit="1" customWidth="1"/>
    <col min="13" max="16384" width="9.140625" style="128" customWidth="1"/>
  </cols>
  <sheetData>
    <row r="1" spans="1:5" ht="18.75">
      <c r="A1" s="235" t="s">
        <v>19</v>
      </c>
      <c r="B1" s="235"/>
      <c r="C1" s="235"/>
      <c r="D1" s="235"/>
      <c r="E1" s="235"/>
    </row>
    <row r="2" spans="1:5" ht="18.75">
      <c r="A2" s="235" t="s">
        <v>20</v>
      </c>
      <c r="B2" s="235"/>
      <c r="C2" s="235"/>
      <c r="D2" s="235"/>
      <c r="E2" s="235"/>
    </row>
    <row r="3" spans="1:4" ht="18.75">
      <c r="A3" s="127"/>
      <c r="B3" s="127"/>
      <c r="C3" s="127"/>
      <c r="D3" s="122" t="s">
        <v>308</v>
      </c>
    </row>
    <row r="4" spans="1:5" ht="18.75">
      <c r="A4" s="216" t="s">
        <v>21</v>
      </c>
      <c r="B4" s="216"/>
      <c r="C4" s="216"/>
      <c r="D4" s="216"/>
      <c r="E4" s="216"/>
    </row>
    <row r="5" spans="1:5" ht="19.5" thickBot="1">
      <c r="A5" s="130"/>
      <c r="B5" s="130"/>
      <c r="C5" s="130"/>
      <c r="D5" s="122" t="s">
        <v>352</v>
      </c>
      <c r="E5" s="130"/>
    </row>
    <row r="6" spans="1:5" ht="19.5" thickTop="1">
      <c r="A6" s="236" t="s">
        <v>22</v>
      </c>
      <c r="B6" s="237"/>
      <c r="C6" s="131"/>
      <c r="D6" s="132"/>
      <c r="E6" s="133" t="s">
        <v>146</v>
      </c>
    </row>
    <row r="7" spans="1:5" ht="18.75">
      <c r="A7" s="134" t="s">
        <v>120</v>
      </c>
      <c r="B7" s="135" t="s">
        <v>23</v>
      </c>
      <c r="C7" s="136" t="s">
        <v>86</v>
      </c>
      <c r="D7" s="137" t="s">
        <v>24</v>
      </c>
      <c r="E7" s="138" t="s">
        <v>23</v>
      </c>
    </row>
    <row r="8" spans="1:5" ht="19.5" thickBot="1">
      <c r="A8" s="139" t="s">
        <v>25</v>
      </c>
      <c r="B8" s="140" t="s">
        <v>25</v>
      </c>
      <c r="C8" s="139"/>
      <c r="D8" s="141" t="s">
        <v>26</v>
      </c>
      <c r="E8" s="140" t="s">
        <v>25</v>
      </c>
    </row>
    <row r="9" spans="1:5" ht="19.5" thickTop="1">
      <c r="A9" s="131"/>
      <c r="B9" s="142">
        <v>21756620.35</v>
      </c>
      <c r="C9" s="143" t="s">
        <v>27</v>
      </c>
      <c r="D9" s="132"/>
      <c r="E9" s="144">
        <v>31658545.74</v>
      </c>
    </row>
    <row r="10" spans="1:11" ht="18.75">
      <c r="A10" s="136"/>
      <c r="B10" s="142"/>
      <c r="C10" s="145" t="s">
        <v>296</v>
      </c>
      <c r="D10" s="137"/>
      <c r="E10" s="146"/>
      <c r="I10" s="110"/>
      <c r="J10" s="109"/>
      <c r="K10" s="109"/>
    </row>
    <row r="11" spans="1:12" ht="18.75">
      <c r="A11" s="142">
        <v>69850</v>
      </c>
      <c r="B11" s="146">
        <v>69001.32</v>
      </c>
      <c r="C11" s="147" t="s">
        <v>28</v>
      </c>
      <c r="D11" s="137" t="s">
        <v>29</v>
      </c>
      <c r="E11" s="146">
        <v>391.6</v>
      </c>
      <c r="G11" s="148"/>
      <c r="I11" s="110"/>
      <c r="J11" s="117"/>
      <c r="K11" s="117"/>
      <c r="L11" s="148"/>
    </row>
    <row r="12" spans="1:12" ht="18.75">
      <c r="A12" s="142">
        <v>350</v>
      </c>
      <c r="B12" s="146">
        <v>1412.68</v>
      </c>
      <c r="C12" s="147" t="s">
        <v>30</v>
      </c>
      <c r="D12" s="137" t="s">
        <v>31</v>
      </c>
      <c r="E12" s="146">
        <v>0</v>
      </c>
      <c r="G12" s="148"/>
      <c r="I12" s="110"/>
      <c r="J12" s="117"/>
      <c r="K12" s="117"/>
      <c r="L12" s="148"/>
    </row>
    <row r="13" spans="1:11" ht="18.75">
      <c r="A13" s="142">
        <v>107140</v>
      </c>
      <c r="B13" s="146">
        <v>287944.55</v>
      </c>
      <c r="C13" s="147" t="s">
        <v>32</v>
      </c>
      <c r="D13" s="137" t="s">
        <v>33</v>
      </c>
      <c r="E13" s="146">
        <v>121290.02</v>
      </c>
      <c r="G13" s="148"/>
      <c r="J13" s="148"/>
      <c r="K13" s="148"/>
    </row>
    <row r="14" spans="1:10" ht="18.75">
      <c r="A14" s="142">
        <v>0</v>
      </c>
      <c r="B14" s="146">
        <v>0</v>
      </c>
      <c r="C14" s="147" t="s">
        <v>34</v>
      </c>
      <c r="D14" s="137" t="s">
        <v>35</v>
      </c>
      <c r="E14" s="146">
        <v>0</v>
      </c>
      <c r="G14" s="148"/>
      <c r="I14" s="110"/>
      <c r="J14" s="117"/>
    </row>
    <row r="15" spans="1:10" ht="18.75">
      <c r="A15" s="142">
        <v>198250</v>
      </c>
      <c r="B15" s="146">
        <v>40900</v>
      </c>
      <c r="C15" s="147" t="s">
        <v>36</v>
      </c>
      <c r="D15" s="137" t="s">
        <v>37</v>
      </c>
      <c r="E15" s="146">
        <v>0</v>
      </c>
      <c r="G15" s="148"/>
      <c r="J15" s="148"/>
    </row>
    <row r="16" spans="1:7" ht="18.75">
      <c r="A16" s="142">
        <v>0</v>
      </c>
      <c r="B16" s="146">
        <v>0</v>
      </c>
      <c r="C16" s="147" t="s">
        <v>38</v>
      </c>
      <c r="D16" s="137" t="s">
        <v>39</v>
      </c>
      <c r="E16" s="146">
        <v>0</v>
      </c>
      <c r="G16" s="148"/>
    </row>
    <row r="17" spans="1:7" ht="18.75">
      <c r="A17" s="142">
        <v>9808360</v>
      </c>
      <c r="B17" s="146">
        <v>12734860.15</v>
      </c>
      <c r="C17" s="147" t="s">
        <v>40</v>
      </c>
      <c r="D17" s="137" t="s">
        <v>41</v>
      </c>
      <c r="E17" s="146">
        <v>1086841.53</v>
      </c>
      <c r="F17" s="148"/>
      <c r="G17" s="148"/>
    </row>
    <row r="18" spans="1:7" ht="18.75">
      <c r="A18" s="149">
        <v>7615990</v>
      </c>
      <c r="B18" s="150">
        <v>7629669</v>
      </c>
      <c r="C18" s="147" t="s">
        <v>42</v>
      </c>
      <c r="D18" s="137" t="s">
        <v>43</v>
      </c>
      <c r="E18" s="150">
        <v>0</v>
      </c>
      <c r="G18" s="148"/>
    </row>
    <row r="19" spans="1:8" ht="19.5" thickBot="1">
      <c r="A19" s="151">
        <f>SUM(A11:A18)</f>
        <v>17799940</v>
      </c>
      <c r="B19" s="152">
        <f>SUM(B11:B18)</f>
        <v>20763787.700000003</v>
      </c>
      <c r="D19" s="137"/>
      <c r="E19" s="152">
        <f>SUM(E11+E12+E13+E14+E15+E16+E17+E18)</f>
        <v>1208523.1500000001</v>
      </c>
      <c r="F19" s="148"/>
      <c r="G19" s="148"/>
      <c r="H19" s="148"/>
    </row>
    <row r="20" spans="1:7" ht="19.5" thickTop="1">
      <c r="A20" s="153"/>
      <c r="B20" s="154">
        <v>103324.99</v>
      </c>
      <c r="C20" s="147" t="s">
        <v>279</v>
      </c>
      <c r="D20" s="137" t="s">
        <v>44</v>
      </c>
      <c r="E20" s="144">
        <v>2629.39</v>
      </c>
      <c r="G20" s="148"/>
    </row>
    <row r="21" spans="1:7" ht="18.75">
      <c r="A21" s="153"/>
      <c r="B21" s="142">
        <v>667462</v>
      </c>
      <c r="C21" s="155" t="s">
        <v>8</v>
      </c>
      <c r="D21" s="137" t="s">
        <v>45</v>
      </c>
      <c r="E21" s="146">
        <f>SUM(4500+3340+3260+80+2400+700)</f>
        <v>14280</v>
      </c>
      <c r="G21" s="148"/>
    </row>
    <row r="22" spans="1:7" ht="18.75">
      <c r="A22" s="153"/>
      <c r="B22" s="142">
        <v>570240</v>
      </c>
      <c r="C22" s="147" t="s">
        <v>7</v>
      </c>
      <c r="D22" s="137" t="s">
        <v>9</v>
      </c>
      <c r="E22" s="146">
        <v>18000</v>
      </c>
      <c r="F22" s="148"/>
      <c r="G22" s="148"/>
    </row>
    <row r="23" spans="1:7" ht="18.75">
      <c r="A23" s="153"/>
      <c r="B23" s="146">
        <v>67088.03</v>
      </c>
      <c r="C23" s="156" t="s">
        <v>185</v>
      </c>
      <c r="D23" s="137" t="s">
        <v>186</v>
      </c>
      <c r="E23" s="146">
        <f>SUM(5814+750)</f>
        <v>6564</v>
      </c>
      <c r="G23" s="148"/>
    </row>
    <row r="24" spans="1:7" ht="18.75">
      <c r="A24" s="153"/>
      <c r="B24" s="146">
        <v>0</v>
      </c>
      <c r="C24" s="153" t="s">
        <v>290</v>
      </c>
      <c r="D24" s="137" t="s">
        <v>284</v>
      </c>
      <c r="E24" s="146">
        <v>0</v>
      </c>
      <c r="G24" s="148"/>
    </row>
    <row r="25" spans="1:7" ht="18.75">
      <c r="A25" s="153"/>
      <c r="B25" s="142">
        <v>5954614</v>
      </c>
      <c r="C25" s="147" t="s">
        <v>192</v>
      </c>
      <c r="D25" s="137" t="s">
        <v>191</v>
      </c>
      <c r="E25" s="146">
        <v>18720</v>
      </c>
      <c r="G25" s="148"/>
    </row>
    <row r="26" spans="1:7" ht="18.75">
      <c r="A26" s="153"/>
      <c r="B26" s="142">
        <v>283285</v>
      </c>
      <c r="C26" s="147" t="s">
        <v>288</v>
      </c>
      <c r="D26" s="137" t="s">
        <v>284</v>
      </c>
      <c r="E26" s="146">
        <v>116529</v>
      </c>
      <c r="G26" s="148"/>
    </row>
    <row r="27" spans="1:7" ht="18.75">
      <c r="A27" s="153"/>
      <c r="B27" s="142">
        <v>0</v>
      </c>
      <c r="C27" s="147" t="s">
        <v>292</v>
      </c>
      <c r="D27" s="137" t="s">
        <v>291</v>
      </c>
      <c r="E27" s="146">
        <v>0</v>
      </c>
      <c r="G27" s="148"/>
    </row>
    <row r="28" spans="1:10" ht="18.75">
      <c r="A28" s="153"/>
      <c r="B28" s="142"/>
      <c r="C28" s="147"/>
      <c r="D28" s="137"/>
      <c r="E28" s="146"/>
      <c r="J28" s="148"/>
    </row>
    <row r="29" spans="1:10" ht="18.75">
      <c r="A29" s="153"/>
      <c r="B29" s="142"/>
      <c r="C29" s="147"/>
      <c r="D29" s="137"/>
      <c r="E29" s="146"/>
      <c r="J29" s="148"/>
    </row>
    <row r="30" spans="1:5" ht="18.75">
      <c r="A30" s="153"/>
      <c r="B30" s="142"/>
      <c r="C30" s="147"/>
      <c r="D30" s="137"/>
      <c r="E30" s="146"/>
    </row>
    <row r="31" spans="1:5" ht="18.75">
      <c r="A31" s="153"/>
      <c r="B31" s="142"/>
      <c r="C31" s="147"/>
      <c r="D31" s="137"/>
      <c r="E31" s="146"/>
    </row>
    <row r="32" spans="1:5" ht="18.75">
      <c r="A32" s="153"/>
      <c r="B32" s="142"/>
      <c r="C32" s="147"/>
      <c r="D32" s="137"/>
      <c r="E32" s="146"/>
    </row>
    <row r="33" spans="1:5" ht="18.75">
      <c r="A33" s="153"/>
      <c r="B33" s="142"/>
      <c r="C33" s="147"/>
      <c r="D33" s="137"/>
      <c r="E33" s="146"/>
    </row>
    <row r="34" spans="1:5" ht="18.75">
      <c r="A34" s="153"/>
      <c r="B34" s="142"/>
      <c r="C34" s="147"/>
      <c r="D34" s="137"/>
      <c r="E34" s="146"/>
    </row>
    <row r="35" spans="1:5" ht="18.75">
      <c r="A35" s="153"/>
      <c r="B35" s="142"/>
      <c r="C35" s="147"/>
      <c r="D35" s="137"/>
      <c r="E35" s="146"/>
    </row>
    <row r="36" spans="1:5" ht="18.75">
      <c r="A36" s="153"/>
      <c r="B36" s="149"/>
      <c r="C36" s="147"/>
      <c r="D36" s="137"/>
      <c r="E36" s="150"/>
    </row>
    <row r="37" spans="1:5" ht="18.75">
      <c r="A37" s="153"/>
      <c r="B37" s="123">
        <f>SUM(B20:B36)</f>
        <v>7646014.02</v>
      </c>
      <c r="D37" s="137"/>
      <c r="E37" s="123">
        <f>SUM(E20:E36)</f>
        <v>176722.39</v>
      </c>
    </row>
    <row r="38" spans="1:5" ht="18.75">
      <c r="A38" s="153"/>
      <c r="B38" s="157">
        <f>SUM(B37+B19)</f>
        <v>28409801.720000003</v>
      </c>
      <c r="C38" s="136" t="s">
        <v>46</v>
      </c>
      <c r="D38" s="158"/>
      <c r="E38" s="159">
        <f>SUM(E37+E19)</f>
        <v>1385245.54</v>
      </c>
    </row>
    <row r="39" spans="1:5" ht="18.75">
      <c r="A39" s="153"/>
      <c r="B39" s="160"/>
      <c r="C39" s="161"/>
      <c r="D39" s="162"/>
      <c r="E39" s="160"/>
    </row>
    <row r="40" spans="1:5" ht="18.75">
      <c r="A40" s="153"/>
      <c r="B40" s="160"/>
      <c r="C40" s="161"/>
      <c r="D40" s="162"/>
      <c r="E40" s="160"/>
    </row>
    <row r="41" spans="1:5" ht="18.75">
      <c r="A41" s="153"/>
      <c r="B41" s="160"/>
      <c r="C41" s="161"/>
      <c r="D41" s="162"/>
      <c r="E41" s="160"/>
    </row>
    <row r="42" spans="1:5" ht="18.75">
      <c r="A42" s="153"/>
      <c r="B42" s="160"/>
      <c r="C42" s="161"/>
      <c r="D42" s="162"/>
      <c r="E42" s="160"/>
    </row>
    <row r="43" spans="1:5" ht="18.75">
      <c r="A43" s="153"/>
      <c r="B43" s="160"/>
      <c r="C43" s="161"/>
      <c r="D43" s="162"/>
      <c r="E43" s="160"/>
    </row>
    <row r="44" spans="1:5" ht="18.75">
      <c r="A44" s="153"/>
      <c r="B44" s="160"/>
      <c r="C44" s="161"/>
      <c r="D44" s="162"/>
      <c r="E44" s="160"/>
    </row>
    <row r="45" spans="1:5" ht="18.75">
      <c r="A45" s="238" t="s">
        <v>22</v>
      </c>
      <c r="B45" s="239"/>
      <c r="C45" s="134"/>
      <c r="D45" s="163"/>
      <c r="E45" s="164" t="s">
        <v>146</v>
      </c>
    </row>
    <row r="46" spans="1:5" ht="18.75">
      <c r="A46" s="135" t="s">
        <v>120</v>
      </c>
      <c r="B46" s="161" t="s">
        <v>23</v>
      </c>
      <c r="C46" s="136" t="s">
        <v>86</v>
      </c>
      <c r="D46" s="137" t="s">
        <v>24</v>
      </c>
      <c r="E46" s="138" t="s">
        <v>23</v>
      </c>
    </row>
    <row r="47" spans="1:5" ht="18.75">
      <c r="A47" s="165" t="s">
        <v>25</v>
      </c>
      <c r="B47" s="166" t="s">
        <v>25</v>
      </c>
      <c r="C47" s="167"/>
      <c r="D47" s="158" t="s">
        <v>26</v>
      </c>
      <c r="E47" s="165" t="s">
        <v>25</v>
      </c>
    </row>
    <row r="48" spans="1:5" ht="18.75">
      <c r="A48" s="142"/>
      <c r="B48" s="136"/>
      <c r="C48" s="145" t="s">
        <v>47</v>
      </c>
      <c r="D48" s="137"/>
      <c r="E48" s="138"/>
    </row>
    <row r="49" spans="1:9" ht="18.75">
      <c r="A49" s="142">
        <v>390490</v>
      </c>
      <c r="B49" s="146">
        <v>191384</v>
      </c>
      <c r="C49" s="156" t="s">
        <v>48</v>
      </c>
      <c r="D49" s="137" t="s">
        <v>118</v>
      </c>
      <c r="E49" s="146">
        <v>3360</v>
      </c>
      <c r="F49" s="148"/>
      <c r="G49" s="148"/>
      <c r="H49" s="148"/>
      <c r="I49" s="148"/>
    </row>
    <row r="50" spans="1:9" ht="18.75">
      <c r="A50" s="142">
        <v>213090</v>
      </c>
      <c r="B50" s="146">
        <v>59500</v>
      </c>
      <c r="C50" s="156" t="s">
        <v>48</v>
      </c>
      <c r="D50" s="137" t="s">
        <v>148</v>
      </c>
      <c r="E50" s="146">
        <v>4500</v>
      </c>
      <c r="F50" s="148"/>
      <c r="G50" s="148"/>
      <c r="I50" s="148"/>
    </row>
    <row r="51" spans="1:8" ht="18.75">
      <c r="A51" s="142">
        <v>3977620</v>
      </c>
      <c r="B51" s="146">
        <v>2946219.77</v>
      </c>
      <c r="C51" s="156" t="s">
        <v>49</v>
      </c>
      <c r="D51" s="137" t="s">
        <v>10</v>
      </c>
      <c r="E51" s="146">
        <f>SUM(308118.32-2683.33)</f>
        <v>305434.99</v>
      </c>
      <c r="F51" s="148"/>
      <c r="G51" s="148"/>
      <c r="H51" s="148"/>
    </row>
    <row r="52" spans="1:7" ht="18.75">
      <c r="A52" s="142">
        <v>180000</v>
      </c>
      <c r="B52" s="146">
        <v>150000</v>
      </c>
      <c r="C52" s="156" t="s">
        <v>50</v>
      </c>
      <c r="D52" s="137" t="s">
        <v>11</v>
      </c>
      <c r="E52" s="146">
        <f>SUM(15000)</f>
        <v>15000</v>
      </c>
      <c r="F52" s="148"/>
      <c r="G52" s="148"/>
    </row>
    <row r="53" spans="1:8" ht="18.75">
      <c r="A53" s="142">
        <v>698000</v>
      </c>
      <c r="B53" s="146">
        <v>321000</v>
      </c>
      <c r="C53" s="156" t="s">
        <v>174</v>
      </c>
      <c r="D53" s="137" t="s">
        <v>175</v>
      </c>
      <c r="E53" s="146">
        <v>33000</v>
      </c>
      <c r="F53" s="148"/>
      <c r="G53" s="148"/>
      <c r="H53" s="148"/>
    </row>
    <row r="54" spans="1:8" ht="18.75">
      <c r="A54" s="142">
        <v>2142800</v>
      </c>
      <c r="B54" s="146">
        <v>1072914.38</v>
      </c>
      <c r="C54" s="156" t="s">
        <v>181</v>
      </c>
      <c r="D54" s="137" t="s">
        <v>182</v>
      </c>
      <c r="E54" s="146">
        <f>SUM(24404.67+750)</f>
        <v>25154.67</v>
      </c>
      <c r="G54" s="148"/>
      <c r="H54" s="148"/>
    </row>
    <row r="55" spans="1:8" ht="18.75">
      <c r="A55" s="142">
        <v>1200000</v>
      </c>
      <c r="B55" s="146">
        <v>786000</v>
      </c>
      <c r="C55" s="156" t="s">
        <v>181</v>
      </c>
      <c r="D55" s="137" t="s">
        <v>310</v>
      </c>
      <c r="E55" s="146">
        <v>157200</v>
      </c>
      <c r="G55" s="148"/>
      <c r="H55" s="148"/>
    </row>
    <row r="56" spans="1:8" ht="18.75">
      <c r="A56" s="142">
        <v>1717240</v>
      </c>
      <c r="B56" s="146">
        <v>1076070.65</v>
      </c>
      <c r="C56" s="156" t="s">
        <v>51</v>
      </c>
      <c r="D56" s="137" t="s">
        <v>12</v>
      </c>
      <c r="E56" s="146">
        <f>SUM(52091.26+4500+3340+3260+2400)</f>
        <v>65591.26000000001</v>
      </c>
      <c r="G56" s="148"/>
      <c r="H56" s="148"/>
    </row>
    <row r="57" spans="1:7" ht="18.75">
      <c r="A57" s="142">
        <v>2050480</v>
      </c>
      <c r="B57" s="146">
        <v>757053</v>
      </c>
      <c r="C57" s="156" t="s">
        <v>51</v>
      </c>
      <c r="D57" s="137" t="s">
        <v>176</v>
      </c>
      <c r="E57" s="146">
        <v>0</v>
      </c>
      <c r="G57" s="148"/>
    </row>
    <row r="58" spans="1:7" ht="18.75">
      <c r="A58" s="142">
        <v>635000</v>
      </c>
      <c r="B58" s="146">
        <v>249742</v>
      </c>
      <c r="C58" s="156" t="s">
        <v>52</v>
      </c>
      <c r="D58" s="137" t="s">
        <v>53</v>
      </c>
      <c r="E58" s="146">
        <v>4500</v>
      </c>
      <c r="G58" s="148"/>
    </row>
    <row r="59" spans="1:7" ht="18.75">
      <c r="A59" s="142">
        <v>1319220</v>
      </c>
      <c r="B59" s="146">
        <v>781982.52</v>
      </c>
      <c r="C59" s="156" t="s">
        <v>52</v>
      </c>
      <c r="D59" s="137" t="s">
        <v>183</v>
      </c>
      <c r="E59" s="146">
        <v>144694.1</v>
      </c>
      <c r="F59" s="148"/>
      <c r="G59" s="148"/>
    </row>
    <row r="60" spans="1:7" ht="18.75">
      <c r="A60" s="142">
        <v>259800</v>
      </c>
      <c r="B60" s="146">
        <v>179980.39</v>
      </c>
      <c r="C60" s="156" t="s">
        <v>54</v>
      </c>
      <c r="D60" s="137" t="s">
        <v>13</v>
      </c>
      <c r="E60" s="146">
        <v>20420.92</v>
      </c>
      <c r="G60" s="148"/>
    </row>
    <row r="61" spans="1:7" ht="18.75">
      <c r="A61" s="142">
        <v>165000</v>
      </c>
      <c r="B61" s="146">
        <v>130000</v>
      </c>
      <c r="C61" s="156" t="s">
        <v>42</v>
      </c>
      <c r="D61" s="137" t="s">
        <v>177</v>
      </c>
      <c r="E61" s="146">
        <v>15000</v>
      </c>
      <c r="F61" s="148"/>
      <c r="G61" s="148"/>
    </row>
    <row r="62" spans="1:7" ht="18.75">
      <c r="A62" s="142">
        <v>2044000</v>
      </c>
      <c r="B62" s="146">
        <v>2024500</v>
      </c>
      <c r="C62" s="156" t="s">
        <v>42</v>
      </c>
      <c r="D62" s="137" t="s">
        <v>178</v>
      </c>
      <c r="E62" s="146">
        <v>0</v>
      </c>
      <c r="G62" s="148"/>
    </row>
    <row r="63" spans="1:7" ht="18.75">
      <c r="A63" s="142">
        <v>6000</v>
      </c>
      <c r="B63" s="146">
        <v>5000</v>
      </c>
      <c r="C63" s="156" t="s">
        <v>55</v>
      </c>
      <c r="D63" s="137" t="s">
        <v>14</v>
      </c>
      <c r="E63" s="146">
        <v>0</v>
      </c>
      <c r="G63" s="148"/>
    </row>
    <row r="64" spans="1:7" ht="18.75">
      <c r="A64" s="142">
        <v>129200</v>
      </c>
      <c r="B64" s="146">
        <v>86000</v>
      </c>
      <c r="C64" s="156" t="s">
        <v>55</v>
      </c>
      <c r="D64" s="137" t="s">
        <v>179</v>
      </c>
      <c r="E64" s="146">
        <v>17800</v>
      </c>
      <c r="F64" s="148"/>
      <c r="G64" s="148"/>
    </row>
    <row r="65" spans="1:7" ht="18.75">
      <c r="A65" s="142">
        <v>0</v>
      </c>
      <c r="B65" s="146">
        <v>0</v>
      </c>
      <c r="C65" s="156" t="s">
        <v>56</v>
      </c>
      <c r="D65" s="137" t="s">
        <v>57</v>
      </c>
      <c r="E65" s="146">
        <v>0</v>
      </c>
      <c r="G65" s="148"/>
    </row>
    <row r="66" spans="1:7" ht="18.75">
      <c r="A66" s="142">
        <v>660000</v>
      </c>
      <c r="B66" s="146">
        <v>175000</v>
      </c>
      <c r="C66" s="156" t="s">
        <v>56</v>
      </c>
      <c r="D66" s="137" t="s">
        <v>149</v>
      </c>
      <c r="E66" s="146">
        <v>175000</v>
      </c>
      <c r="F66" s="148"/>
      <c r="G66" s="148"/>
    </row>
    <row r="67" spans="1:7" ht="18.75">
      <c r="A67" s="142">
        <v>12000</v>
      </c>
      <c r="B67" s="146">
        <v>0</v>
      </c>
      <c r="C67" s="156" t="s">
        <v>18</v>
      </c>
      <c r="D67" s="137" t="s">
        <v>301</v>
      </c>
      <c r="E67" s="146">
        <v>0</v>
      </c>
      <c r="G67" s="148"/>
    </row>
    <row r="68" spans="1:7" ht="18.75">
      <c r="A68" s="142">
        <v>0</v>
      </c>
      <c r="B68" s="182" t="s">
        <v>300</v>
      </c>
      <c r="C68" s="156" t="s">
        <v>18</v>
      </c>
      <c r="D68" s="137" t="s">
        <v>302</v>
      </c>
      <c r="E68" s="146">
        <v>0</v>
      </c>
      <c r="G68" s="148"/>
    </row>
    <row r="69" spans="1:8" ht="19.5" thickBot="1">
      <c r="A69" s="151">
        <f>SUM(A49:A68)</f>
        <v>17799940</v>
      </c>
      <c r="B69" s="152">
        <f>SUM(B49:B68)</f>
        <v>10992346.71</v>
      </c>
      <c r="D69" s="137"/>
      <c r="E69" s="152">
        <f>SUM(E49:E68)</f>
        <v>986655.94</v>
      </c>
      <c r="F69" s="148"/>
      <c r="G69" s="148"/>
      <c r="H69" s="148"/>
    </row>
    <row r="70" spans="1:7" ht="19.5" thickTop="1">
      <c r="A70" s="188"/>
      <c r="B70" s="144">
        <v>521748.22</v>
      </c>
      <c r="C70" s="156" t="s">
        <v>58</v>
      </c>
      <c r="D70" s="137" t="s">
        <v>59</v>
      </c>
      <c r="E70" s="144">
        <v>0</v>
      </c>
      <c r="G70" s="148"/>
    </row>
    <row r="71" spans="1:7" ht="18.75">
      <c r="A71" s="169"/>
      <c r="B71" s="146">
        <v>0</v>
      </c>
      <c r="C71" s="156" t="s">
        <v>275</v>
      </c>
      <c r="D71" s="137" t="s">
        <v>276</v>
      </c>
      <c r="E71" s="146">
        <v>0</v>
      </c>
      <c r="F71" s="148"/>
      <c r="G71" s="148"/>
    </row>
    <row r="72" spans="1:7" ht="18.75">
      <c r="A72" s="169"/>
      <c r="B72" s="146">
        <v>0</v>
      </c>
      <c r="C72" s="156" t="s">
        <v>280</v>
      </c>
      <c r="D72" s="137" t="s">
        <v>277</v>
      </c>
      <c r="E72" s="146">
        <v>0</v>
      </c>
      <c r="F72" s="148"/>
      <c r="G72" s="148"/>
    </row>
    <row r="73" spans="1:7" ht="18.75">
      <c r="A73" s="153"/>
      <c r="B73" s="146">
        <v>736790</v>
      </c>
      <c r="C73" s="156" t="s">
        <v>172</v>
      </c>
      <c r="D73" s="137" t="s">
        <v>188</v>
      </c>
      <c r="E73" s="146">
        <v>0</v>
      </c>
      <c r="G73" s="148"/>
    </row>
    <row r="74" spans="1:10" ht="18.75">
      <c r="A74" s="153"/>
      <c r="B74" s="146">
        <v>228860.21</v>
      </c>
      <c r="C74" s="156" t="s">
        <v>279</v>
      </c>
      <c r="D74" s="137" t="s">
        <v>44</v>
      </c>
      <c r="E74" s="146">
        <v>79280.41</v>
      </c>
      <c r="G74" s="148"/>
      <c r="J74" s="148"/>
    </row>
    <row r="75" spans="1:7" ht="18.75">
      <c r="A75" s="153"/>
      <c r="B75" s="146">
        <v>665058</v>
      </c>
      <c r="C75" s="153" t="s">
        <v>8</v>
      </c>
      <c r="D75" s="137" t="s">
        <v>45</v>
      </c>
      <c r="E75" s="168">
        <v>9696</v>
      </c>
      <c r="G75" s="148"/>
    </row>
    <row r="76" spans="1:7" ht="18.75">
      <c r="A76" s="169"/>
      <c r="B76" s="146">
        <v>0</v>
      </c>
      <c r="C76" s="153" t="s">
        <v>185</v>
      </c>
      <c r="D76" s="137" t="s">
        <v>186</v>
      </c>
      <c r="E76" s="168">
        <v>0</v>
      </c>
      <c r="G76" s="148"/>
    </row>
    <row r="77" spans="1:7" ht="18.75">
      <c r="A77" s="153"/>
      <c r="B77" s="146">
        <v>579240</v>
      </c>
      <c r="C77" s="153" t="s">
        <v>281</v>
      </c>
      <c r="D77" s="137" t="s">
        <v>9</v>
      </c>
      <c r="E77" s="168">
        <v>18000</v>
      </c>
      <c r="G77" s="148"/>
    </row>
    <row r="78" spans="1:7" ht="18.75">
      <c r="A78" s="153"/>
      <c r="B78" s="146">
        <v>4645382</v>
      </c>
      <c r="C78" s="147" t="s">
        <v>294</v>
      </c>
      <c r="D78" s="137" t="s">
        <v>293</v>
      </c>
      <c r="E78" s="168">
        <f>SUM(459820+642)</f>
        <v>460462</v>
      </c>
      <c r="G78" s="148"/>
    </row>
    <row r="79" spans="1:7" ht="18.75">
      <c r="A79" s="153"/>
      <c r="B79" s="146">
        <v>171672</v>
      </c>
      <c r="C79" s="147" t="s">
        <v>330</v>
      </c>
      <c r="D79" s="137" t="s">
        <v>331</v>
      </c>
      <c r="E79" s="168">
        <f>SUM(18000+5172)</f>
        <v>23172</v>
      </c>
      <c r="G79" s="148"/>
    </row>
    <row r="80" spans="1:7" ht="18.75">
      <c r="A80" s="153"/>
      <c r="B80" s="146">
        <v>35000</v>
      </c>
      <c r="C80" s="147" t="s">
        <v>0</v>
      </c>
      <c r="D80" s="137" t="s">
        <v>1</v>
      </c>
      <c r="E80" s="168">
        <v>0</v>
      </c>
      <c r="G80" s="148"/>
    </row>
    <row r="81" spans="1:7" ht="18.75">
      <c r="A81" s="153"/>
      <c r="B81" s="146">
        <v>24800</v>
      </c>
      <c r="C81" s="147" t="s">
        <v>339</v>
      </c>
      <c r="D81" s="137" t="s">
        <v>340</v>
      </c>
      <c r="E81" s="168">
        <v>0</v>
      </c>
      <c r="G81" s="148"/>
    </row>
    <row r="82" spans="1:10" ht="18.75">
      <c r="A82" s="153"/>
      <c r="B82" s="146">
        <v>178000</v>
      </c>
      <c r="C82" s="153" t="s">
        <v>288</v>
      </c>
      <c r="D82" s="137" t="s">
        <v>284</v>
      </c>
      <c r="E82" s="168">
        <v>79000</v>
      </c>
      <c r="G82" s="148"/>
      <c r="J82" s="148"/>
    </row>
    <row r="83" spans="1:11" ht="18.75">
      <c r="A83" s="153"/>
      <c r="B83" s="123">
        <f>SUM(B70:B82)</f>
        <v>7786550.43</v>
      </c>
      <c r="C83" s="153"/>
      <c r="D83" s="137"/>
      <c r="E83" s="123">
        <f>SUM(E70:E82)</f>
        <v>669610.41</v>
      </c>
      <c r="H83" s="148"/>
      <c r="J83" s="148"/>
      <c r="K83" s="148"/>
    </row>
    <row r="84" spans="1:11" ht="18.75">
      <c r="A84" s="153"/>
      <c r="B84" s="123">
        <f>SUM(B83+B69)</f>
        <v>18778897.14</v>
      </c>
      <c r="C84" s="161" t="s">
        <v>60</v>
      </c>
      <c r="D84" s="137"/>
      <c r="E84" s="171">
        <f>SUM(E69+E83)</f>
        <v>1656266.35</v>
      </c>
      <c r="J84" s="148"/>
      <c r="K84" s="148"/>
    </row>
    <row r="85" spans="1:11" ht="18.75">
      <c r="A85" s="153"/>
      <c r="B85" s="146"/>
      <c r="C85" s="161" t="s">
        <v>61</v>
      </c>
      <c r="D85" s="137"/>
      <c r="E85" s="168"/>
      <c r="J85" s="148"/>
      <c r="K85" s="148"/>
    </row>
    <row r="86" spans="1:5" ht="18.75">
      <c r="A86" s="153"/>
      <c r="B86" s="146">
        <f>SUM(B38-B84)</f>
        <v>9630904.580000002</v>
      </c>
      <c r="C86" s="161" t="s">
        <v>62</v>
      </c>
      <c r="D86" s="137"/>
      <c r="E86" s="168">
        <f>SUM(E38-E84)</f>
        <v>-271020.81000000006</v>
      </c>
    </row>
    <row r="87" spans="1:10" ht="18.75">
      <c r="A87" s="153"/>
      <c r="B87" s="146"/>
      <c r="C87" s="161" t="s">
        <v>63</v>
      </c>
      <c r="D87" s="137"/>
      <c r="E87" s="170"/>
      <c r="J87" s="148"/>
    </row>
    <row r="88" spans="2:11" ht="19.5" thickBot="1">
      <c r="B88" s="152">
        <f>SUM(B9+B86)</f>
        <v>31387524.930000003</v>
      </c>
      <c r="C88" s="161" t="s">
        <v>64</v>
      </c>
      <c r="D88" s="137"/>
      <c r="E88" s="172">
        <f>SUM(E9+E86)</f>
        <v>31387524.93</v>
      </c>
      <c r="F88" s="148"/>
      <c r="G88" s="148"/>
      <c r="J88" s="148"/>
      <c r="K88" s="129"/>
    </row>
    <row r="89" spans="2:11" ht="19.5" thickTop="1">
      <c r="B89" s="173"/>
      <c r="C89" s="161"/>
      <c r="E89" s="173"/>
      <c r="F89" s="206"/>
      <c r="G89" s="148"/>
      <c r="J89" s="148"/>
      <c r="K89" s="129"/>
    </row>
    <row r="90" spans="2:11" ht="18.75">
      <c r="B90" s="173"/>
      <c r="C90" s="161"/>
      <c r="E90" s="173"/>
      <c r="F90" s="148"/>
      <c r="G90" s="148"/>
      <c r="K90" s="148"/>
    </row>
    <row r="91" spans="2:11" ht="18.75">
      <c r="B91" s="173"/>
      <c r="C91" s="161"/>
      <c r="E91" s="173"/>
      <c r="G91" s="148"/>
      <c r="K91" s="175"/>
    </row>
    <row r="92" spans="1:6" ht="18.75">
      <c r="A92" s="109"/>
      <c r="B92" s="109"/>
      <c r="C92" s="109"/>
      <c r="D92" s="109"/>
      <c r="E92" s="117"/>
      <c r="F92" s="148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1"/>
  <sheetViews>
    <sheetView view="pageBreakPreview" zoomScaleSheetLayoutView="100" zoomScalePageLayoutView="0" workbookViewId="0" topLeftCell="A91">
      <selection activeCell="V109" sqref="V109"/>
    </sheetView>
  </sheetViews>
  <sheetFormatPr defaultColWidth="9.140625" defaultRowHeight="12.75"/>
  <cols>
    <col min="1" max="1" width="8.7109375" style="14" customWidth="1"/>
    <col min="2" max="2" width="7.421875" style="95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5" customWidth="1"/>
    <col min="10" max="10" width="6.7109375" style="13" customWidth="1"/>
    <col min="11" max="11" width="6.00390625" style="13" customWidth="1"/>
    <col min="12" max="12" width="6.8515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5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11" customWidth="1"/>
    <col min="21" max="21" width="9.140625" style="58" customWidth="1"/>
    <col min="22" max="22" width="9.57421875" style="58" customWidth="1"/>
    <col min="23" max="16384" width="9.140625" style="13" customWidth="1"/>
  </cols>
  <sheetData>
    <row r="1" spans="1:20" ht="16.5">
      <c r="A1" s="229" t="s">
        <v>199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6.5">
      <c r="A2" s="229" t="s">
        <v>278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6.5">
      <c r="A3" s="242" t="s">
        <v>353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ht="16.5">
      <c r="A4" s="88" t="s">
        <v>200</v>
      </c>
      <c r="B4" s="240" t="s">
        <v>201</v>
      </c>
      <c r="C4" s="241"/>
      <c r="D4" s="240" t="s">
        <v>202</v>
      </c>
      <c r="E4" s="241"/>
      <c r="F4" s="240" t="s">
        <v>203</v>
      </c>
      <c r="G4" s="241"/>
      <c r="H4" s="89" t="s">
        <v>204</v>
      </c>
      <c r="I4" s="92" t="s">
        <v>205</v>
      </c>
      <c r="J4" s="240" t="s">
        <v>206</v>
      </c>
      <c r="K4" s="241"/>
      <c r="L4" s="240" t="s">
        <v>207</v>
      </c>
      <c r="M4" s="241"/>
      <c r="N4" s="240" t="s">
        <v>208</v>
      </c>
      <c r="O4" s="241"/>
      <c r="P4" s="90"/>
      <c r="Q4" s="240" t="s">
        <v>209</v>
      </c>
      <c r="R4" s="241"/>
      <c r="S4" s="11" t="s">
        <v>210</v>
      </c>
      <c r="T4" s="243" t="s">
        <v>211</v>
      </c>
    </row>
    <row r="5" spans="1:20" ht="16.5">
      <c r="A5" s="91" t="s">
        <v>84</v>
      </c>
      <c r="B5" s="92" t="s">
        <v>212</v>
      </c>
      <c r="C5" s="11" t="s">
        <v>213</v>
      </c>
      <c r="D5" s="11" t="s">
        <v>214</v>
      </c>
      <c r="E5" s="11" t="s">
        <v>215</v>
      </c>
      <c r="F5" s="11" t="s">
        <v>216</v>
      </c>
      <c r="G5" s="11" t="s">
        <v>217</v>
      </c>
      <c r="H5" s="11" t="s">
        <v>218</v>
      </c>
      <c r="I5" s="92" t="s">
        <v>219</v>
      </c>
      <c r="J5" s="11" t="s">
        <v>220</v>
      </c>
      <c r="K5" s="11" t="s">
        <v>221</v>
      </c>
      <c r="L5" s="11" t="s">
        <v>307</v>
      </c>
      <c r="M5" s="11" t="s">
        <v>222</v>
      </c>
      <c r="N5" s="11" t="s">
        <v>223</v>
      </c>
      <c r="O5" s="11" t="s">
        <v>224</v>
      </c>
      <c r="P5" s="92" t="s">
        <v>225</v>
      </c>
      <c r="Q5" s="11" t="s">
        <v>226</v>
      </c>
      <c r="R5" s="11" t="s">
        <v>227</v>
      </c>
      <c r="S5" s="11" t="s">
        <v>228</v>
      </c>
      <c r="T5" s="244"/>
    </row>
    <row r="6" spans="1:22" s="95" customFormat="1" ht="14.25">
      <c r="A6" s="93" t="s">
        <v>229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>
        <v>0</v>
      </c>
      <c r="T6" s="208">
        <f>SUM(S6)</f>
        <v>0</v>
      </c>
      <c r="U6" s="104"/>
      <c r="V6" s="104"/>
    </row>
    <row r="7" spans="1:22" s="95" customFormat="1" ht="14.25">
      <c r="A7" s="92" t="s">
        <v>230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/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7860</v>
      </c>
      <c r="T7" s="208">
        <f>SUM(B7:S7)</f>
        <v>7860</v>
      </c>
      <c r="U7" s="104"/>
      <c r="V7" s="104"/>
    </row>
    <row r="8" spans="1:22" s="95" customFormat="1" ht="14.25">
      <c r="A8" s="92" t="s">
        <v>289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/>
      <c r="I8" s="94">
        <v>0</v>
      </c>
      <c r="J8" s="94">
        <v>0</v>
      </c>
      <c r="K8" s="94">
        <v>0</v>
      </c>
      <c r="L8" s="94"/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208">
        <f>SUM(B8:S8)</f>
        <v>0</v>
      </c>
      <c r="U8" s="104"/>
      <c r="V8" s="104"/>
    </row>
    <row r="9" spans="1:22" s="95" customFormat="1" ht="14.25">
      <c r="A9" s="92" t="s">
        <v>231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94">
        <v>0</v>
      </c>
      <c r="J9" s="94">
        <v>0</v>
      </c>
      <c r="K9" s="94">
        <v>0</v>
      </c>
      <c r="L9" s="94"/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208">
        <f>SUM(B9:S9)</f>
        <v>0</v>
      </c>
      <c r="U9" s="104"/>
      <c r="V9" s="104"/>
    </row>
    <row r="10" spans="1:22" s="95" customFormat="1" ht="14.25">
      <c r="A10" s="96" t="s">
        <v>232</v>
      </c>
      <c r="B10" s="94">
        <f aca="true" t="shared" si="0" ref="B10:H10">SUM(B7:B9)</f>
        <v>0</v>
      </c>
      <c r="C10" s="94">
        <f t="shared" si="0"/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v>0</v>
      </c>
      <c r="J10" s="94">
        <f aca="true" t="shared" si="1" ref="J10:R10">SUM(J7:J9)</f>
        <v>0</v>
      </c>
      <c r="K10" s="94">
        <f t="shared" si="1"/>
        <v>0</v>
      </c>
      <c r="L10" s="94"/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>SUM(S6:S9)</f>
        <v>7860</v>
      </c>
      <c r="T10" s="208">
        <f>SUM(B10:S10)</f>
        <v>7860</v>
      </c>
      <c r="U10" s="104"/>
      <c r="V10" s="104"/>
    </row>
    <row r="11" spans="1:22" s="95" customFormat="1" ht="14.25">
      <c r="A11" s="96" t="s">
        <v>233</v>
      </c>
      <c r="B11" s="94">
        <v>0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/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f>SUM(106340+21640+10020+65364+7680+8040+8820+6900+8220+7860)</f>
        <v>250884</v>
      </c>
      <c r="T11" s="208">
        <f>SUM(B11:S11)</f>
        <v>250884</v>
      </c>
      <c r="U11" s="104"/>
      <c r="V11" s="104"/>
    </row>
    <row r="12" spans="1:22" s="95" customFormat="1" ht="14.25">
      <c r="A12" s="93" t="s">
        <v>234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08"/>
      <c r="U12" s="104"/>
      <c r="V12" s="104"/>
    </row>
    <row r="13" spans="1:22" s="95" customFormat="1" ht="14.25">
      <c r="A13" s="92">
        <v>101</v>
      </c>
      <c r="B13" s="94">
        <v>42840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/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208">
        <f>SUM(B13:S13)</f>
        <v>42840</v>
      </c>
      <c r="U13" s="104"/>
      <c r="V13" s="104"/>
    </row>
    <row r="14" spans="1:22" s="95" customFormat="1" ht="14.25">
      <c r="A14" s="92">
        <v>102</v>
      </c>
      <c r="B14" s="94">
        <v>80651.66</v>
      </c>
      <c r="C14" s="94">
        <v>36220</v>
      </c>
      <c r="D14" s="94">
        <v>0</v>
      </c>
      <c r="E14" s="94">
        <v>0</v>
      </c>
      <c r="F14" s="94">
        <v>24360</v>
      </c>
      <c r="G14" s="94">
        <v>0</v>
      </c>
      <c r="H14" s="94">
        <v>0</v>
      </c>
      <c r="I14" s="94">
        <v>0</v>
      </c>
      <c r="J14" s="94">
        <v>32360</v>
      </c>
      <c r="K14" s="94">
        <v>0</v>
      </c>
      <c r="L14" s="94">
        <v>12240</v>
      </c>
      <c r="M14" s="94">
        <v>0</v>
      </c>
      <c r="N14" s="94">
        <v>0</v>
      </c>
      <c r="O14" s="94">
        <v>0</v>
      </c>
      <c r="P14" s="94">
        <v>0</v>
      </c>
      <c r="Q14" s="94">
        <v>14660</v>
      </c>
      <c r="R14" s="94">
        <v>0</v>
      </c>
      <c r="S14" s="94">
        <v>0</v>
      </c>
      <c r="T14" s="208">
        <f>SUM(B14:S14)</f>
        <v>200491.66</v>
      </c>
      <c r="U14" s="104"/>
      <c r="V14" s="104"/>
    </row>
    <row r="15" spans="1:22" s="95" customFormat="1" ht="14.25">
      <c r="A15" s="92">
        <v>103</v>
      </c>
      <c r="B15" s="94">
        <v>36223.33</v>
      </c>
      <c r="C15" s="94">
        <v>3740</v>
      </c>
      <c r="D15" s="94">
        <v>0</v>
      </c>
      <c r="E15" s="94">
        <v>0</v>
      </c>
      <c r="F15" s="94">
        <v>6670</v>
      </c>
      <c r="G15" s="94">
        <v>0</v>
      </c>
      <c r="H15" s="94">
        <v>0</v>
      </c>
      <c r="I15" s="94">
        <v>0</v>
      </c>
      <c r="J15" s="94">
        <f>SUM(160+1500)</f>
        <v>1660</v>
      </c>
      <c r="K15" s="94">
        <v>0</v>
      </c>
      <c r="L15" s="94">
        <v>2760</v>
      </c>
      <c r="M15" s="94">
        <v>0</v>
      </c>
      <c r="N15" s="94">
        <v>0</v>
      </c>
      <c r="O15" s="94">
        <v>0</v>
      </c>
      <c r="P15" s="94">
        <v>0</v>
      </c>
      <c r="Q15" s="94">
        <v>340</v>
      </c>
      <c r="R15" s="94">
        <v>0</v>
      </c>
      <c r="S15" s="94">
        <v>0</v>
      </c>
      <c r="T15" s="208">
        <f>SUM(B15:S15)</f>
        <v>51393.33</v>
      </c>
      <c r="U15" s="104"/>
      <c r="V15" s="104"/>
    </row>
    <row r="16" spans="1:22" s="95" customFormat="1" ht="14.25">
      <c r="A16" s="92">
        <v>105</v>
      </c>
      <c r="B16" s="94">
        <v>3510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208">
        <v>0</v>
      </c>
      <c r="U16" s="104"/>
      <c r="V16" s="104"/>
    </row>
    <row r="17" spans="1:22" s="95" customFormat="1" ht="14.25">
      <c r="A17" s="92">
        <v>106</v>
      </c>
      <c r="B17" s="94">
        <v>7200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208">
        <v>0</v>
      </c>
      <c r="U17" s="104"/>
      <c r="V17" s="104"/>
    </row>
    <row r="18" spans="1:22" s="95" customFormat="1" ht="14.25">
      <c r="A18" s="96" t="s">
        <v>232</v>
      </c>
      <c r="B18" s="94">
        <f aca="true" t="shared" si="2" ref="B18:S18">SUM(B13:B17)</f>
        <v>170424.99</v>
      </c>
      <c r="C18" s="94">
        <f t="shared" si="2"/>
        <v>39960</v>
      </c>
      <c r="D18" s="94">
        <f t="shared" si="2"/>
        <v>0</v>
      </c>
      <c r="E18" s="94">
        <f t="shared" si="2"/>
        <v>0</v>
      </c>
      <c r="F18" s="94">
        <f t="shared" si="2"/>
        <v>31030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>SUM(J13:J17)</f>
        <v>34020</v>
      </c>
      <c r="K18" s="94">
        <f t="shared" si="2"/>
        <v>0</v>
      </c>
      <c r="L18" s="94">
        <f>SUM(L13:L17)</f>
        <v>15000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>SUM(Q13:Q17)</f>
        <v>15000</v>
      </c>
      <c r="R18" s="94">
        <f t="shared" si="2"/>
        <v>0</v>
      </c>
      <c r="S18" s="94">
        <f t="shared" si="2"/>
        <v>0</v>
      </c>
      <c r="T18" s="208">
        <f>SUM(B18:S18)</f>
        <v>305434.99</v>
      </c>
      <c r="U18" s="104"/>
      <c r="V18" s="104"/>
    </row>
    <row r="19" spans="1:22" s="95" customFormat="1" ht="14.25">
      <c r="A19" s="96" t="s">
        <v>233</v>
      </c>
      <c r="B19" s="94">
        <f>SUM(146328.06+139070+139070+152618.39+154070+154070+155320+155320+155320+170424.99)</f>
        <v>1521611.44</v>
      </c>
      <c r="C19" s="94">
        <f>SUM(64560+64560+64560+64560+64560+49560+50410+50410+44488.33+39960)</f>
        <v>557628.3300000001</v>
      </c>
      <c r="D19" s="94">
        <v>0</v>
      </c>
      <c r="E19" s="94">
        <v>0</v>
      </c>
      <c r="F19" s="94">
        <f>SUM(15770+15770+15770+15770+15770+30770+31030+31030+31030+31030)</f>
        <v>233740</v>
      </c>
      <c r="G19" s="94">
        <v>0</v>
      </c>
      <c r="H19" s="94">
        <v>0</v>
      </c>
      <c r="I19" s="94">
        <v>0</v>
      </c>
      <c r="J19" s="94">
        <f>SUM(32860+32860+32860+32860+32860+32860+34020+34020+34020+34020)</f>
        <v>333240</v>
      </c>
      <c r="K19" s="94">
        <v>0</v>
      </c>
      <c r="L19" s="94">
        <f>SUM(15000+15000+15000+15000+15000+15000+15000+15000+15000+15000)</f>
        <v>150000</v>
      </c>
      <c r="M19" s="94">
        <v>0</v>
      </c>
      <c r="N19" s="94">
        <v>0</v>
      </c>
      <c r="O19" s="94">
        <v>0</v>
      </c>
      <c r="P19" s="94">
        <v>0</v>
      </c>
      <c r="Q19" s="94">
        <f>SUM(15000+15000+15000+15000+15000+15000+15000+15000+15000+15000)</f>
        <v>150000</v>
      </c>
      <c r="R19" s="94">
        <v>0</v>
      </c>
      <c r="S19" s="94">
        <v>0</v>
      </c>
      <c r="T19" s="208">
        <f>SUM(B19:S19)</f>
        <v>2946219.77</v>
      </c>
      <c r="U19" s="104"/>
      <c r="V19" s="104"/>
    </row>
    <row r="20" spans="1:22" s="95" customFormat="1" ht="14.25">
      <c r="A20" s="93" t="s">
        <v>235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208"/>
      <c r="U20" s="104"/>
      <c r="V20" s="104"/>
    </row>
    <row r="21" spans="1:22" s="95" customFormat="1" ht="14.25">
      <c r="A21" s="92" t="s">
        <v>236</v>
      </c>
      <c r="B21" s="94">
        <v>0</v>
      </c>
      <c r="C21" s="94">
        <v>11400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/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208">
        <f>SUM(B21:S21)</f>
        <v>11400</v>
      </c>
      <c r="U21" s="104"/>
      <c r="V21" s="104"/>
    </row>
    <row r="22" spans="1:22" s="95" customFormat="1" ht="14.25">
      <c r="A22" s="92">
        <v>122</v>
      </c>
      <c r="B22" s="94">
        <v>0</v>
      </c>
      <c r="C22" s="94">
        <v>3600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/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208">
        <f>SUM(B22:S22)</f>
        <v>3600</v>
      </c>
      <c r="U22" s="104"/>
      <c r="V22" s="104"/>
    </row>
    <row r="23" spans="1:22" s="95" customFormat="1" ht="14.25">
      <c r="A23" s="96" t="s">
        <v>232</v>
      </c>
      <c r="B23" s="94">
        <f>SUM(B21:B22)</f>
        <v>0</v>
      </c>
      <c r="C23" s="94">
        <f>SUM(C21:C22)</f>
        <v>15000</v>
      </c>
      <c r="D23" s="94">
        <f>SUM(D21:D22)</f>
        <v>0</v>
      </c>
      <c r="E23" s="94">
        <f aca="true" t="shared" si="3" ref="E23:S23">SUM(E21:E22)</f>
        <v>0</v>
      </c>
      <c r="F23" s="94">
        <f t="shared" si="3"/>
        <v>0</v>
      </c>
      <c r="G23" s="94">
        <f t="shared" si="3"/>
        <v>0</v>
      </c>
      <c r="H23" s="94">
        <f t="shared" si="3"/>
        <v>0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/>
      <c r="M23" s="94">
        <f t="shared" si="3"/>
        <v>0</v>
      </c>
      <c r="N23" s="94">
        <f t="shared" si="3"/>
        <v>0</v>
      </c>
      <c r="O23" s="94">
        <f t="shared" si="3"/>
        <v>0</v>
      </c>
      <c r="P23" s="94">
        <f t="shared" si="3"/>
        <v>0</v>
      </c>
      <c r="Q23" s="94">
        <f t="shared" si="3"/>
        <v>0</v>
      </c>
      <c r="R23" s="94">
        <f t="shared" si="3"/>
        <v>0</v>
      </c>
      <c r="S23" s="94">
        <f t="shared" si="3"/>
        <v>0</v>
      </c>
      <c r="T23" s="208">
        <f>SUM(B23:S23)</f>
        <v>15000</v>
      </c>
      <c r="U23" s="104"/>
      <c r="V23" s="104"/>
    </row>
    <row r="24" spans="1:22" s="95" customFormat="1" ht="14.25">
      <c r="A24" s="96" t="s">
        <v>233</v>
      </c>
      <c r="B24" s="94">
        <v>0</v>
      </c>
      <c r="C24" s="94">
        <f>SUM(15000+15000+15000+15000+15000+15000+15000+15000+15000+15000)</f>
        <v>150000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/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208">
        <f>SUM(B24:S24)</f>
        <v>150000</v>
      </c>
      <c r="U24" s="104"/>
      <c r="V24" s="104"/>
    </row>
    <row r="25" spans="1:22" s="95" customFormat="1" ht="14.25">
      <c r="A25" s="93" t="s">
        <v>237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8"/>
      <c r="U25" s="104"/>
      <c r="V25" s="104"/>
    </row>
    <row r="26" spans="1:22" s="95" customFormat="1" ht="14.25">
      <c r="A26" s="92" t="s">
        <v>238</v>
      </c>
      <c r="B26" s="94">
        <f>SUM(6270)</f>
        <v>6270</v>
      </c>
      <c r="C26" s="94">
        <v>6530</v>
      </c>
      <c r="D26" s="94">
        <v>0</v>
      </c>
      <c r="E26" s="94">
        <v>0</v>
      </c>
      <c r="F26" s="94">
        <v>140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6530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208">
        <f>SUM(B26:S26)</f>
        <v>19470</v>
      </c>
      <c r="U26" s="104"/>
      <c r="V26" s="104"/>
    </row>
    <row r="27" spans="1:22" s="95" customFormat="1" ht="14.25">
      <c r="A27" s="92">
        <v>132</v>
      </c>
      <c r="B27" s="94">
        <v>2730</v>
      </c>
      <c r="C27" s="94">
        <v>2470</v>
      </c>
      <c r="D27" s="94">
        <v>0</v>
      </c>
      <c r="E27" s="94">
        <v>0</v>
      </c>
      <c r="F27" s="94">
        <v>5860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2470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208">
        <f>SUM(B27:S27)</f>
        <v>13530</v>
      </c>
      <c r="U27" s="104"/>
      <c r="V27" s="104"/>
    </row>
    <row r="28" spans="1:22" s="95" customFormat="1" ht="14.25">
      <c r="A28" s="96" t="s">
        <v>232</v>
      </c>
      <c r="B28" s="94">
        <f>SUM(B26:B27)</f>
        <v>9000</v>
      </c>
      <c r="C28" s="94">
        <f>SUM(C26:C27)</f>
        <v>9000</v>
      </c>
      <c r="D28" s="94">
        <v>0</v>
      </c>
      <c r="E28" s="94">
        <f aca="true" t="shared" si="4" ref="E28:S28">SUM(E26:E27)</f>
        <v>0</v>
      </c>
      <c r="F28" s="94">
        <f>SUM(F26:F27)</f>
        <v>6000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>SUM(L26:L27)</f>
        <v>9000</v>
      </c>
      <c r="M28" s="94">
        <f t="shared" si="4"/>
        <v>0</v>
      </c>
      <c r="N28" s="94">
        <f t="shared" si="4"/>
        <v>0</v>
      </c>
      <c r="O28" s="94">
        <f t="shared" si="4"/>
        <v>0</v>
      </c>
      <c r="P28" s="94">
        <f t="shared" si="4"/>
        <v>0</v>
      </c>
      <c r="Q28" s="94">
        <f t="shared" si="4"/>
        <v>0</v>
      </c>
      <c r="R28" s="94">
        <f t="shared" si="4"/>
        <v>0</v>
      </c>
      <c r="S28" s="94">
        <f t="shared" si="4"/>
        <v>0</v>
      </c>
      <c r="T28" s="208">
        <f>SUM(B28:S28)</f>
        <v>33000</v>
      </c>
      <c r="U28" s="104"/>
      <c r="V28" s="104"/>
    </row>
    <row r="29" spans="1:22" s="95" customFormat="1" ht="14.25">
      <c r="A29" s="96" t="s">
        <v>233</v>
      </c>
      <c r="B29" s="94">
        <f>SUM(9000+9000+9000+9000+9000+9000+9000+9000+9000+9000)</f>
        <v>90000</v>
      </c>
      <c r="C29" s="94">
        <f>SUM(9000+9000+9000+9000+9000+9000+9000+9000+9000+9000)</f>
        <v>90000</v>
      </c>
      <c r="D29" s="94">
        <v>0</v>
      </c>
      <c r="E29" s="94">
        <v>0</v>
      </c>
      <c r="F29" s="94">
        <f>SUM(6000+6000+6000+6000+6000+3000+6000+6000+6000)</f>
        <v>51000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f>SUM(9000+9000+9000+9000+9000+9000+9000+9000+9000+9000)</f>
        <v>90000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208">
        <f>SUM(B29:S29)</f>
        <v>321000</v>
      </c>
      <c r="U29" s="104"/>
      <c r="V29" s="104"/>
    </row>
    <row r="30" spans="1:22" s="95" customFormat="1" ht="14.25">
      <c r="A30" s="93" t="s">
        <v>239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208"/>
      <c r="U30" s="104"/>
      <c r="V30" s="104"/>
    </row>
    <row r="31" spans="1:22" s="95" customFormat="1" ht="14.25">
      <c r="A31" s="92" t="s">
        <v>240</v>
      </c>
      <c r="B31" s="94">
        <f>SUM(157200)</f>
        <v>157200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/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208">
        <f aca="true" t="shared" si="5" ref="T31:T36">SUM(B31:S31)</f>
        <v>157200</v>
      </c>
      <c r="U31" s="104"/>
      <c r="V31" s="104"/>
    </row>
    <row r="32" spans="1:22" s="95" customFormat="1" ht="14.25">
      <c r="A32" s="92" t="s">
        <v>241</v>
      </c>
      <c r="B32" s="94">
        <v>0</v>
      </c>
      <c r="C32" s="94">
        <v>1000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208">
        <f t="shared" si="5"/>
        <v>1000</v>
      </c>
      <c r="U32" s="104"/>
      <c r="V32" s="104"/>
    </row>
    <row r="33" spans="1:22" s="95" customFormat="1" ht="14.25">
      <c r="A33" s="92">
        <v>204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/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208">
        <f t="shared" si="5"/>
        <v>0</v>
      </c>
      <c r="U33" s="104"/>
      <c r="V33" s="104"/>
    </row>
    <row r="34" spans="1:22" s="95" customFormat="1" ht="14.25">
      <c r="A34" s="92" t="s">
        <v>242</v>
      </c>
      <c r="B34" s="94">
        <f>SUM(1600+1600+1000)</f>
        <v>4200</v>
      </c>
      <c r="C34" s="94">
        <v>2791.67</v>
      </c>
      <c r="D34" s="94">
        <v>0</v>
      </c>
      <c r="E34" s="94">
        <v>0</v>
      </c>
      <c r="F34" s="94">
        <v>2400</v>
      </c>
      <c r="G34" s="94">
        <v>0</v>
      </c>
      <c r="H34" s="94">
        <v>0</v>
      </c>
      <c r="I34" s="94">
        <v>0</v>
      </c>
      <c r="J34" s="94">
        <v>1600</v>
      </c>
      <c r="K34" s="94">
        <v>0</v>
      </c>
      <c r="L34" s="94"/>
      <c r="M34" s="94">
        <v>0</v>
      </c>
      <c r="N34" s="94">
        <v>0</v>
      </c>
      <c r="O34" s="94">
        <v>0</v>
      </c>
      <c r="P34" s="94">
        <v>0</v>
      </c>
      <c r="Q34" s="94">
        <v>2400</v>
      </c>
      <c r="R34" s="94">
        <v>0</v>
      </c>
      <c r="S34" s="94">
        <v>0</v>
      </c>
      <c r="T34" s="208">
        <f t="shared" si="5"/>
        <v>13391.67</v>
      </c>
      <c r="U34" s="104"/>
      <c r="V34" s="104"/>
    </row>
    <row r="35" spans="1:22" s="95" customFormat="1" ht="14.25">
      <c r="A35" s="92" t="s">
        <v>243</v>
      </c>
      <c r="B35" s="94">
        <v>3652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208">
        <f t="shared" si="5"/>
        <v>3652</v>
      </c>
      <c r="U35" s="104"/>
      <c r="V35" s="104"/>
    </row>
    <row r="36" spans="1:22" s="95" customFormat="1" ht="14.25">
      <c r="A36" s="92" t="s">
        <v>244</v>
      </c>
      <c r="B36" s="94">
        <v>5801</v>
      </c>
      <c r="C36" s="94">
        <v>1310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/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208">
        <f t="shared" si="5"/>
        <v>7111</v>
      </c>
      <c r="U36" s="104"/>
      <c r="V36" s="104"/>
    </row>
    <row r="37" spans="1:22" s="95" customFormat="1" ht="14.25">
      <c r="A37" s="96" t="s">
        <v>232</v>
      </c>
      <c r="B37" s="94">
        <f>SUM(B31:B36)</f>
        <v>170853</v>
      </c>
      <c r="C37" s="94">
        <f>SUM(C31:C36)</f>
        <v>5101.67</v>
      </c>
      <c r="D37" s="94">
        <f>SUM(D31:D36)</f>
        <v>0</v>
      </c>
      <c r="E37" s="94">
        <f>SUM(E31:E36)</f>
        <v>0</v>
      </c>
      <c r="F37" s="94">
        <f>SUM(F31:F36)</f>
        <v>2400</v>
      </c>
      <c r="G37" s="94">
        <f aca="true" t="shared" si="6" ref="G37:R37">SUM(G31:G36)</f>
        <v>0</v>
      </c>
      <c r="H37" s="94">
        <f t="shared" si="6"/>
        <v>0</v>
      </c>
      <c r="I37" s="94">
        <f t="shared" si="6"/>
        <v>0</v>
      </c>
      <c r="J37" s="94">
        <f t="shared" si="6"/>
        <v>1600</v>
      </c>
      <c r="K37" s="94">
        <f t="shared" si="6"/>
        <v>0</v>
      </c>
      <c r="L37" s="94">
        <f>SUM(L31:L36)</f>
        <v>0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2400</v>
      </c>
      <c r="R37" s="94">
        <f t="shared" si="6"/>
        <v>0</v>
      </c>
      <c r="S37" s="94">
        <f>SUM(S35:S36)</f>
        <v>0</v>
      </c>
      <c r="T37" s="208">
        <f>SUM(B37:S37)</f>
        <v>182354.67</v>
      </c>
      <c r="U37" s="104"/>
      <c r="V37" s="104"/>
    </row>
    <row r="38" spans="1:22" s="95" customFormat="1" ht="14.25">
      <c r="A38" s="96" t="s">
        <v>233</v>
      </c>
      <c r="B38" s="94">
        <f>SUM(165812.55+161668+159800+164947+164005.16+166226+176211+161400+163475+170853)</f>
        <v>1654397.71</v>
      </c>
      <c r="C38" s="94">
        <f>SUM(4255+7701+3593+11382+6085+7390+30929+13677+25261+5101.67)</f>
        <v>115374.67</v>
      </c>
      <c r="D38" s="94">
        <f>SUM(71400+71400-142800)</f>
        <v>0</v>
      </c>
      <c r="E38" s="94">
        <v>0</v>
      </c>
      <c r="F38" s="94">
        <f>SUM(4450+2400+3440+2400+4635+4795+10400+6552+2951+2400)</f>
        <v>44423</v>
      </c>
      <c r="G38" s="94">
        <v>0</v>
      </c>
      <c r="H38" s="94">
        <v>0</v>
      </c>
      <c r="I38" s="94">
        <v>0</v>
      </c>
      <c r="J38" s="94">
        <f>SUM(1600+1600+1600+1600+1600+1600+1600+2035+2480+1600)</f>
        <v>17315</v>
      </c>
      <c r="K38" s="94">
        <v>0</v>
      </c>
      <c r="L38" s="94">
        <f>SUM(1702+1702)</f>
        <v>3404</v>
      </c>
      <c r="M38" s="94">
        <v>0</v>
      </c>
      <c r="N38" s="94">
        <v>0</v>
      </c>
      <c r="O38" s="94">
        <v>0</v>
      </c>
      <c r="P38" s="94">
        <v>0</v>
      </c>
      <c r="Q38" s="94">
        <f>SUM(2400+2400+2400+2400+2400+2400+2400+2400+2400+2400)</f>
        <v>24000</v>
      </c>
      <c r="R38" s="94">
        <v>0</v>
      </c>
      <c r="S38" s="94">
        <v>0</v>
      </c>
      <c r="T38" s="208">
        <f>SUM(B38:S38)</f>
        <v>1858914.38</v>
      </c>
      <c r="U38" s="104"/>
      <c r="V38" s="104"/>
    </row>
    <row r="39" spans="1:22" s="95" customFormat="1" ht="14.25">
      <c r="A39" s="97"/>
      <c r="B39" s="98"/>
      <c r="C39" s="98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209"/>
      <c r="U39" s="104"/>
      <c r="V39" s="104"/>
    </row>
    <row r="40" spans="1:22" s="95" customFormat="1" ht="14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09"/>
      <c r="U40" s="104"/>
      <c r="V40" s="104"/>
    </row>
    <row r="41" spans="1:22" s="95" customFormat="1" ht="14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209"/>
      <c r="U41" s="104"/>
      <c r="V41" s="104"/>
    </row>
    <row r="42" spans="1:20" ht="16.5">
      <c r="A42" s="242" t="s">
        <v>17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</row>
    <row r="43" spans="1:20" ht="16.5">
      <c r="A43" s="88" t="s">
        <v>200</v>
      </c>
      <c r="B43" s="240" t="s">
        <v>201</v>
      </c>
      <c r="C43" s="241"/>
      <c r="D43" s="240" t="s">
        <v>202</v>
      </c>
      <c r="E43" s="241"/>
      <c r="F43" s="240" t="s">
        <v>203</v>
      </c>
      <c r="G43" s="241"/>
      <c r="H43" s="89" t="s">
        <v>204</v>
      </c>
      <c r="I43" s="92" t="s">
        <v>205</v>
      </c>
      <c r="J43" s="240" t="s">
        <v>206</v>
      </c>
      <c r="K43" s="241"/>
      <c r="L43" s="240" t="s">
        <v>207</v>
      </c>
      <c r="M43" s="241"/>
      <c r="N43" s="240" t="s">
        <v>208</v>
      </c>
      <c r="O43" s="241"/>
      <c r="P43" s="90"/>
      <c r="Q43" s="240" t="s">
        <v>209</v>
      </c>
      <c r="R43" s="241"/>
      <c r="S43" s="11" t="s">
        <v>210</v>
      </c>
      <c r="T43" s="243" t="s">
        <v>211</v>
      </c>
    </row>
    <row r="44" spans="1:20" ht="16.5">
      <c r="A44" s="91" t="s">
        <v>84</v>
      </c>
      <c r="B44" s="92" t="s">
        <v>212</v>
      </c>
      <c r="C44" s="11" t="s">
        <v>213</v>
      </c>
      <c r="D44" s="11" t="s">
        <v>214</v>
      </c>
      <c r="E44" s="11" t="s">
        <v>215</v>
      </c>
      <c r="F44" s="11" t="s">
        <v>216</v>
      </c>
      <c r="G44" s="11" t="s">
        <v>217</v>
      </c>
      <c r="H44" s="11" t="s">
        <v>218</v>
      </c>
      <c r="I44" s="92" t="s">
        <v>219</v>
      </c>
      <c r="J44" s="11" t="s">
        <v>220</v>
      </c>
      <c r="K44" s="11" t="s">
        <v>221</v>
      </c>
      <c r="L44" s="11" t="s">
        <v>307</v>
      </c>
      <c r="M44" s="11" t="s">
        <v>222</v>
      </c>
      <c r="N44" s="11" t="s">
        <v>223</v>
      </c>
      <c r="O44" s="11" t="s">
        <v>224</v>
      </c>
      <c r="P44" s="92" t="s">
        <v>225</v>
      </c>
      <c r="Q44" s="11" t="s">
        <v>226</v>
      </c>
      <c r="R44" s="11" t="s">
        <v>227</v>
      </c>
      <c r="S44" s="11" t="s">
        <v>228</v>
      </c>
      <c r="T44" s="244"/>
    </row>
    <row r="45" spans="1:22" s="95" customFormat="1" ht="14.25">
      <c r="A45" s="93" t="s">
        <v>245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08"/>
      <c r="U45" s="104"/>
      <c r="V45" s="104"/>
    </row>
    <row r="46" spans="1:22" s="95" customFormat="1" ht="14.25">
      <c r="A46" s="92">
        <v>251</v>
      </c>
      <c r="B46" s="94">
        <v>10211</v>
      </c>
      <c r="C46" s="94">
        <v>0</v>
      </c>
      <c r="D46" s="94">
        <v>0</v>
      </c>
      <c r="E46" s="94">
        <v>0</v>
      </c>
      <c r="F46" s="94">
        <v>0</v>
      </c>
      <c r="G46" s="94">
        <v>6000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208">
        <f aca="true" t="shared" si="7" ref="T46:T51">SUM(B46:S46)</f>
        <v>16211</v>
      </c>
      <c r="U46" s="104"/>
      <c r="V46" s="104"/>
    </row>
    <row r="47" spans="1:22" s="95" customFormat="1" ht="14.25">
      <c r="A47" s="92" t="s">
        <v>246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/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208">
        <f t="shared" si="7"/>
        <v>0</v>
      </c>
      <c r="U47" s="104"/>
      <c r="V47" s="104"/>
    </row>
    <row r="48" spans="1:22" s="95" customFormat="1" ht="14.25">
      <c r="A48" s="92" t="s">
        <v>247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208">
        <f t="shared" si="7"/>
        <v>0</v>
      </c>
      <c r="U48" s="104"/>
      <c r="V48" s="104"/>
    </row>
    <row r="49" spans="1:22" s="95" customFormat="1" ht="14.25">
      <c r="A49" s="92" t="s">
        <v>248</v>
      </c>
      <c r="B49" s="94">
        <v>12220</v>
      </c>
      <c r="C49" s="94">
        <v>3340</v>
      </c>
      <c r="D49" s="94">
        <v>0</v>
      </c>
      <c r="E49" s="94">
        <v>0</v>
      </c>
      <c r="F49" s="94">
        <v>9440</v>
      </c>
      <c r="G49" s="94">
        <v>0</v>
      </c>
      <c r="H49" s="94">
        <v>0</v>
      </c>
      <c r="I49" s="94">
        <v>0</v>
      </c>
      <c r="J49" s="94">
        <v>2400</v>
      </c>
      <c r="K49" s="94">
        <v>1410.26</v>
      </c>
      <c r="L49" s="94">
        <v>570</v>
      </c>
      <c r="M49" s="94">
        <v>0</v>
      </c>
      <c r="N49" s="94">
        <v>0</v>
      </c>
      <c r="O49" s="94">
        <v>20000</v>
      </c>
      <c r="P49" s="94">
        <v>0</v>
      </c>
      <c r="Q49" s="94">
        <v>0</v>
      </c>
      <c r="R49" s="94">
        <v>0</v>
      </c>
      <c r="S49" s="94">
        <v>0</v>
      </c>
      <c r="T49" s="208">
        <f t="shared" si="7"/>
        <v>49380.259999999995</v>
      </c>
      <c r="U49" s="104"/>
      <c r="V49" s="104"/>
    </row>
    <row r="50" spans="1:22" s="95" customFormat="1" ht="14.25">
      <c r="A50" s="96" t="s">
        <v>232</v>
      </c>
      <c r="B50" s="94">
        <f>SUM(B46:B49)</f>
        <v>22431</v>
      </c>
      <c r="C50" s="94">
        <f>SUM(C46:C49)</f>
        <v>3340</v>
      </c>
      <c r="D50" s="94">
        <f>SUM(D46:D49)</f>
        <v>0</v>
      </c>
      <c r="E50" s="94">
        <f>SUM(E46:E49)</f>
        <v>0</v>
      </c>
      <c r="F50" s="94">
        <f>SUM(F46:F49)</f>
        <v>9440</v>
      </c>
      <c r="G50" s="94">
        <f aca="true" t="shared" si="8" ref="G50:L50">SUM(G46:G49)</f>
        <v>6000</v>
      </c>
      <c r="H50" s="94">
        <f t="shared" si="8"/>
        <v>0</v>
      </c>
      <c r="I50" s="94">
        <f t="shared" si="8"/>
        <v>0</v>
      </c>
      <c r="J50" s="94">
        <f t="shared" si="8"/>
        <v>2400</v>
      </c>
      <c r="K50" s="94">
        <f t="shared" si="8"/>
        <v>1410.26</v>
      </c>
      <c r="L50" s="94">
        <f t="shared" si="8"/>
        <v>570</v>
      </c>
      <c r="M50" s="94">
        <f>SUM(M46:M49)</f>
        <v>0</v>
      </c>
      <c r="N50" s="94">
        <f aca="true" t="shared" si="9" ref="N50:S50">SUM(N46:N49)</f>
        <v>0</v>
      </c>
      <c r="O50" s="94">
        <f t="shared" si="9"/>
        <v>20000</v>
      </c>
      <c r="P50" s="94">
        <f t="shared" si="9"/>
        <v>0</v>
      </c>
      <c r="Q50" s="94">
        <f>SUM(Q46:Q49)</f>
        <v>0</v>
      </c>
      <c r="R50" s="94">
        <v>0</v>
      </c>
      <c r="S50" s="94">
        <f t="shared" si="9"/>
        <v>0</v>
      </c>
      <c r="T50" s="208">
        <f>SUM(B50:S50)</f>
        <v>65591.26000000001</v>
      </c>
      <c r="U50" s="104"/>
      <c r="V50" s="104"/>
    </row>
    <row r="51" spans="1:22" s="95" customFormat="1" ht="14.25">
      <c r="A51" s="96" t="s">
        <v>233</v>
      </c>
      <c r="B51" s="94">
        <f>SUM(65700+11786+9215+12903.99+25785.9+19825.5+121582+171800+20451+22431)</f>
        <v>481480.39</v>
      </c>
      <c r="C51" s="94">
        <f>SUM(53500+3758+3832+4200+6424+26340+3340)</f>
        <v>101394</v>
      </c>
      <c r="D51" s="94">
        <f>SUM(142800)</f>
        <v>142800</v>
      </c>
      <c r="E51" s="94">
        <v>0</v>
      </c>
      <c r="F51" s="94">
        <f>SUM(8400+10784+9440)</f>
        <v>28624</v>
      </c>
      <c r="G51" s="94">
        <f>SUM(141594+2700+5700+21550+127068+6000)</f>
        <v>304612</v>
      </c>
      <c r="H51" s="94">
        <v>0</v>
      </c>
      <c r="I51" s="94">
        <f>SUM(156000)</f>
        <v>156000</v>
      </c>
      <c r="J51" s="94">
        <f>SUM(9400+4072+2400)</f>
        <v>15872</v>
      </c>
      <c r="K51" s="94">
        <f>SUM(1410.26)</f>
        <v>1410.26</v>
      </c>
      <c r="L51" s="94">
        <f>SUM(8200+16080+570)</f>
        <v>24850</v>
      </c>
      <c r="M51" s="94">
        <v>0</v>
      </c>
      <c r="N51" s="94">
        <f>SUM(77470+100000+18351+45160+32500)</f>
        <v>273481</v>
      </c>
      <c r="O51" s="94">
        <f>SUM(96400+137200+3150-40200+20000)</f>
        <v>216550</v>
      </c>
      <c r="P51" s="94">
        <v>0</v>
      </c>
      <c r="Q51" s="94">
        <f>SUM(2030+18400+7600+58020)</f>
        <v>86050</v>
      </c>
      <c r="R51" s="94">
        <v>0</v>
      </c>
      <c r="S51" s="94">
        <v>0</v>
      </c>
      <c r="T51" s="208">
        <f t="shared" si="7"/>
        <v>1833123.6500000001</v>
      </c>
      <c r="U51" s="104"/>
      <c r="V51" s="104"/>
    </row>
    <row r="52" spans="1:22" s="95" customFormat="1" ht="14.25">
      <c r="A52" s="93" t="s">
        <v>249</v>
      </c>
      <c r="B52" s="94"/>
      <c r="C52" s="94">
        <v>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208"/>
      <c r="U52" s="104"/>
      <c r="V52" s="104"/>
    </row>
    <row r="53" spans="1:22" s="95" customFormat="1" ht="14.25">
      <c r="A53" s="92" t="s">
        <v>250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208">
        <f aca="true" t="shared" si="10" ref="T53:T59">SUM(B53:S53)</f>
        <v>0</v>
      </c>
      <c r="U53" s="104"/>
      <c r="V53" s="104"/>
    </row>
    <row r="54" spans="1:22" s="95" customFormat="1" ht="14.25">
      <c r="A54" s="92" t="s">
        <v>251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208">
        <f t="shared" si="10"/>
        <v>0</v>
      </c>
      <c r="U54" s="104"/>
      <c r="V54" s="104"/>
    </row>
    <row r="55" spans="1:22" s="95" customFormat="1" ht="14.25">
      <c r="A55" s="92" t="s">
        <v>252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144694.1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208">
        <f t="shared" si="10"/>
        <v>144694.1</v>
      </c>
      <c r="U55" s="104"/>
      <c r="V55" s="104"/>
    </row>
    <row r="56" spans="1:22" s="95" customFormat="1" ht="14.25">
      <c r="A56" s="92">
        <v>276</v>
      </c>
      <c r="B56" s="94">
        <v>4500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208">
        <f>SUM(B56:S56)</f>
        <v>4500</v>
      </c>
      <c r="U56" s="104"/>
      <c r="V56" s="104"/>
    </row>
    <row r="57" spans="1:22" s="95" customFormat="1" ht="14.25">
      <c r="A57" s="92" t="s">
        <v>253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08">
        <f t="shared" si="10"/>
        <v>0</v>
      </c>
      <c r="U57" s="104"/>
      <c r="V57" s="104"/>
    </row>
    <row r="58" spans="1:22" s="95" customFormat="1" ht="14.25">
      <c r="A58" s="92">
        <v>280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208">
        <f>SUM(B58:S58)</f>
        <v>0</v>
      </c>
      <c r="U58" s="104"/>
      <c r="V58" s="104"/>
    </row>
    <row r="59" spans="1:22" s="95" customFormat="1" ht="14.25">
      <c r="A59" s="92" t="s">
        <v>254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208">
        <f t="shared" si="10"/>
        <v>0</v>
      </c>
      <c r="U59" s="104"/>
      <c r="V59" s="104"/>
    </row>
    <row r="60" spans="1:22" s="95" customFormat="1" ht="14.25">
      <c r="A60" s="96" t="s">
        <v>232</v>
      </c>
      <c r="B60" s="94">
        <f>SUM(B53:B59)</f>
        <v>4500</v>
      </c>
      <c r="C60" s="94">
        <f>SUM(C53:C59)</f>
        <v>0</v>
      </c>
      <c r="D60" s="94">
        <f>SUM(D53:D59)</f>
        <v>0</v>
      </c>
      <c r="E60" s="94">
        <f aca="true" t="shared" si="11" ref="E60:O60">SUM(E53:E59)</f>
        <v>0</v>
      </c>
      <c r="F60" s="94">
        <f>SUM(F53:F59)</f>
        <v>0</v>
      </c>
      <c r="G60" s="94">
        <f>SUM(G53:G59)</f>
        <v>144694.1</v>
      </c>
      <c r="H60" s="94">
        <f t="shared" si="11"/>
        <v>0</v>
      </c>
      <c r="I60" s="94">
        <f t="shared" si="11"/>
        <v>0</v>
      </c>
      <c r="J60" s="94">
        <f>SUM(J53:J59)</f>
        <v>0</v>
      </c>
      <c r="K60" s="94">
        <f t="shared" si="11"/>
        <v>0</v>
      </c>
      <c r="L60" s="94">
        <f>SUM(L53:L59)</f>
        <v>0</v>
      </c>
      <c r="M60" s="94">
        <f t="shared" si="11"/>
        <v>0</v>
      </c>
      <c r="N60" s="94">
        <f t="shared" si="11"/>
        <v>0</v>
      </c>
      <c r="O60" s="94">
        <f t="shared" si="11"/>
        <v>0</v>
      </c>
      <c r="P60" s="94">
        <f>SUM(P53:P59)</f>
        <v>0</v>
      </c>
      <c r="Q60" s="94">
        <f>SUM(Q53:Q59)</f>
        <v>0</v>
      </c>
      <c r="R60" s="94">
        <f>SUM(R53:R59)</f>
        <v>0</v>
      </c>
      <c r="S60" s="94">
        <f>SUM(S57:S59)</f>
        <v>0</v>
      </c>
      <c r="T60" s="208">
        <f>SUM(B60:S60)</f>
        <v>149194.1</v>
      </c>
      <c r="U60" s="104"/>
      <c r="V60" s="104"/>
    </row>
    <row r="61" spans="1:22" s="95" customFormat="1" ht="14.25">
      <c r="A61" s="96" t="s">
        <v>233</v>
      </c>
      <c r="B61" s="94">
        <f>SUM(4700+3000+6200+22025+27722+4500+6400+3000+4500)</f>
        <v>82047</v>
      </c>
      <c r="C61" s="94">
        <f>SUM(1700+21158+1692+19683)</f>
        <v>44233</v>
      </c>
      <c r="D61" s="94">
        <f>SUM(64000)</f>
        <v>64000</v>
      </c>
      <c r="E61" s="94">
        <v>0</v>
      </c>
      <c r="F61" s="94">
        <f>SUM(11290+1160+4940)</f>
        <v>17390</v>
      </c>
      <c r="G61" s="94">
        <f>SUM(186310.4+98094.53+88497.44+264386.05+144694.1)</f>
        <v>781982.5199999999</v>
      </c>
      <c r="H61" s="94">
        <v>0</v>
      </c>
      <c r="I61" s="94">
        <v>0</v>
      </c>
      <c r="J61" s="94">
        <f>SUM(6747)</f>
        <v>6747</v>
      </c>
      <c r="K61" s="94">
        <v>0</v>
      </c>
      <c r="L61" s="94">
        <f>SUM(22295)</f>
        <v>22295</v>
      </c>
      <c r="M61" s="94">
        <v>0</v>
      </c>
      <c r="N61" s="94">
        <v>0</v>
      </c>
      <c r="O61" s="94">
        <v>0</v>
      </c>
      <c r="P61" s="94">
        <v>0</v>
      </c>
      <c r="Q61" s="94">
        <f>SUM(7130+5900)</f>
        <v>13030</v>
      </c>
      <c r="R61" s="94">
        <v>0</v>
      </c>
      <c r="S61" s="94">
        <v>0</v>
      </c>
      <c r="T61" s="208">
        <f>SUM(B61:S61)</f>
        <v>1031724.5199999999</v>
      </c>
      <c r="U61" s="104"/>
      <c r="V61" s="104"/>
    </row>
    <row r="62" spans="1:22" s="95" customFormat="1" ht="14.25">
      <c r="A62" s="93" t="s">
        <v>255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208"/>
      <c r="U62" s="104"/>
      <c r="V62" s="104"/>
    </row>
    <row r="63" spans="1:22" s="95" customFormat="1" ht="14.25">
      <c r="A63" s="92" t="s">
        <v>256</v>
      </c>
      <c r="B63" s="94">
        <v>10997.87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681.14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208">
        <f aca="true" t="shared" si="12" ref="T63:T68">SUM(B63:S63)</f>
        <v>11679.01</v>
      </c>
      <c r="U63" s="104"/>
      <c r="V63" s="104"/>
    </row>
    <row r="64" spans="1:22" s="95" customFormat="1" ht="14.25">
      <c r="A64" s="92">
        <v>303</v>
      </c>
      <c r="B64" s="94">
        <v>480.43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208">
        <f t="shared" si="12"/>
        <v>480.43</v>
      </c>
      <c r="U64" s="104"/>
      <c r="V64" s="104"/>
    </row>
    <row r="65" spans="1:22" s="95" customFormat="1" ht="14.25">
      <c r="A65" s="92">
        <v>304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208">
        <f t="shared" si="12"/>
        <v>0</v>
      </c>
      <c r="U65" s="104"/>
      <c r="V65" s="104"/>
    </row>
    <row r="66" spans="1:22" s="95" customFormat="1" ht="14.25">
      <c r="A66" s="92" t="s">
        <v>257</v>
      </c>
      <c r="B66" s="94">
        <v>8261.48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208">
        <f t="shared" si="12"/>
        <v>8261.48</v>
      </c>
      <c r="U66" s="104"/>
      <c r="V66" s="104"/>
    </row>
    <row r="67" spans="1:22" s="95" customFormat="1" ht="14.25">
      <c r="A67" s="96" t="s">
        <v>232</v>
      </c>
      <c r="B67" s="94">
        <f>SUM(B63:B66)</f>
        <v>19739.78</v>
      </c>
      <c r="C67" s="94">
        <f aca="true" t="shared" si="13" ref="C67:O67">SUM(C63:C66)</f>
        <v>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/>
      <c r="I67" s="94">
        <f t="shared" si="13"/>
        <v>0</v>
      </c>
      <c r="J67" s="94">
        <f t="shared" si="13"/>
        <v>0</v>
      </c>
      <c r="K67" s="94">
        <f t="shared" si="13"/>
        <v>0</v>
      </c>
      <c r="L67" s="94">
        <f>SUM(L63:L66)</f>
        <v>681.14</v>
      </c>
      <c r="M67" s="94">
        <f t="shared" si="13"/>
        <v>0</v>
      </c>
      <c r="N67" s="94">
        <f t="shared" si="13"/>
        <v>0</v>
      </c>
      <c r="O67" s="94">
        <f t="shared" si="13"/>
        <v>0</v>
      </c>
      <c r="P67" s="94">
        <f>SUM(P63:P66)</f>
        <v>0</v>
      </c>
      <c r="Q67" s="94">
        <f>SUM(Q63:Q66)</f>
        <v>0</v>
      </c>
      <c r="R67" s="94">
        <f>SUM(R63:R66)</f>
        <v>0</v>
      </c>
      <c r="S67" s="94">
        <f>SUM(S63:S66)</f>
        <v>0</v>
      </c>
      <c r="T67" s="208">
        <f t="shared" si="12"/>
        <v>20420.92</v>
      </c>
      <c r="U67" s="104"/>
      <c r="V67" s="104"/>
    </row>
    <row r="68" spans="1:22" s="95" customFormat="1" ht="14.25">
      <c r="A68" s="96" t="s">
        <v>233</v>
      </c>
      <c r="B68" s="94">
        <f>SUM(13500+18020.98+18440.83+17767.35+15896.52+15299.13+16179.94+18034.49+19344.69+19739.78)</f>
        <v>172223.71000000002</v>
      </c>
      <c r="C68" s="94">
        <f>SUM(883+1470+784)</f>
        <v>3137</v>
      </c>
      <c r="D68" s="94">
        <v>0</v>
      </c>
      <c r="E68" s="94">
        <v>0</v>
      </c>
      <c r="F68" s="94">
        <v>0</v>
      </c>
      <c r="G68" s="94">
        <v>0</v>
      </c>
      <c r="H68" s="94"/>
      <c r="I68" s="94">
        <v>0</v>
      </c>
      <c r="J68" s="94">
        <v>0</v>
      </c>
      <c r="K68" s="94">
        <v>0</v>
      </c>
      <c r="L68" s="94">
        <f>SUM(881.68+606.5+570.4+279.77+455.43+564.34+304.37+276.05+681.14)</f>
        <v>4619.68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208">
        <f t="shared" si="12"/>
        <v>179980.39</v>
      </c>
      <c r="U68" s="104"/>
      <c r="V68" s="104"/>
    </row>
    <row r="69" spans="1:22" s="95" customFormat="1" ht="14.25">
      <c r="A69" s="93" t="s">
        <v>258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08"/>
      <c r="U69" s="104"/>
      <c r="V69" s="104"/>
    </row>
    <row r="70" spans="1:22" s="95" customFormat="1" ht="14.25">
      <c r="A70" s="92" t="s">
        <v>259</v>
      </c>
      <c r="B70" s="94">
        <v>5000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10000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208">
        <f>SUM(B70:S70)</f>
        <v>15000</v>
      </c>
      <c r="U70" s="104"/>
      <c r="V70" s="104"/>
    </row>
    <row r="71" spans="1:22" s="95" customFormat="1" ht="14.25">
      <c r="A71" s="96" t="s">
        <v>232</v>
      </c>
      <c r="B71" s="94">
        <f aca="true" t="shared" si="14" ref="B71:N71">SUM(B70)</f>
        <v>5000</v>
      </c>
      <c r="C71" s="94">
        <f t="shared" si="14"/>
        <v>0</v>
      </c>
      <c r="D71" s="94">
        <f>SUM(D70)</f>
        <v>0</v>
      </c>
      <c r="E71" s="94">
        <f t="shared" si="14"/>
        <v>0</v>
      </c>
      <c r="F71" s="94">
        <v>0</v>
      </c>
      <c r="G71" s="94">
        <f t="shared" si="14"/>
        <v>0</v>
      </c>
      <c r="H71" s="94">
        <f t="shared" si="14"/>
        <v>0</v>
      </c>
      <c r="I71" s="94">
        <f>SUM(I70)</f>
        <v>0</v>
      </c>
      <c r="J71" s="94">
        <v>0</v>
      </c>
      <c r="K71" s="94">
        <f t="shared" si="14"/>
        <v>0</v>
      </c>
      <c r="L71" s="94">
        <f>SUM(L70)</f>
        <v>0</v>
      </c>
      <c r="M71" s="94">
        <f t="shared" si="14"/>
        <v>10000</v>
      </c>
      <c r="N71" s="94">
        <f t="shared" si="14"/>
        <v>0</v>
      </c>
      <c r="O71" s="94">
        <f>SUM(O70)</f>
        <v>0</v>
      </c>
      <c r="P71" s="94">
        <v>0</v>
      </c>
      <c r="Q71" s="94">
        <f>SUM(Q70)</f>
        <v>0</v>
      </c>
      <c r="R71" s="94">
        <f>SUM(R70)</f>
        <v>0</v>
      </c>
      <c r="S71" s="94">
        <f>SUM(S69:S70)</f>
        <v>0</v>
      </c>
      <c r="T71" s="208">
        <f>SUM(B71:S71)</f>
        <v>15000</v>
      </c>
      <c r="U71" s="104">
        <v>0</v>
      </c>
      <c r="V71" s="104"/>
    </row>
    <row r="72" spans="1:22" s="95" customFormat="1" ht="14.25">
      <c r="A72" s="96" t="s">
        <v>233</v>
      </c>
      <c r="B72" s="94">
        <f>SUM(5000)</f>
        <v>5000</v>
      </c>
      <c r="C72" s="94">
        <v>0</v>
      </c>
      <c r="D72" s="94">
        <f>SUM(20000)</f>
        <v>20000</v>
      </c>
      <c r="E72" s="94">
        <v>0</v>
      </c>
      <c r="F72" s="94">
        <v>0</v>
      </c>
      <c r="G72" s="94">
        <f>SUM(893100+868400)</f>
        <v>1761500</v>
      </c>
      <c r="H72" s="94">
        <f>SUM(100000+163000)</f>
        <v>263000</v>
      </c>
      <c r="I72" s="94">
        <f>SUM(10000)</f>
        <v>10000</v>
      </c>
      <c r="J72" s="94">
        <v>0</v>
      </c>
      <c r="K72" s="94">
        <v>0</v>
      </c>
      <c r="L72" s="94">
        <f>SUM(0)</f>
        <v>0</v>
      </c>
      <c r="M72" s="94">
        <f>SUM(10000)</f>
        <v>10000</v>
      </c>
      <c r="N72" s="94">
        <f>SUM(30000+15000)</f>
        <v>45000</v>
      </c>
      <c r="O72" s="94">
        <f>SUM(30000+10000)</f>
        <v>40000</v>
      </c>
      <c r="P72" s="94">
        <v>0</v>
      </c>
      <c r="Q72" s="94">
        <v>0</v>
      </c>
      <c r="R72" s="94">
        <v>0</v>
      </c>
      <c r="S72" s="94">
        <v>0</v>
      </c>
      <c r="T72" s="208">
        <f>SUM(B72:S72)</f>
        <v>2154500</v>
      </c>
      <c r="U72" s="104"/>
      <c r="V72" s="104"/>
    </row>
    <row r="73" spans="1:20" ht="16.5">
      <c r="A73" s="99"/>
      <c r="B73" s="98"/>
      <c r="C73" s="12"/>
      <c r="D73" s="12"/>
      <c r="E73" s="12"/>
      <c r="F73" s="12"/>
      <c r="G73" s="12"/>
      <c r="H73" s="12"/>
      <c r="I73" s="98"/>
      <c r="J73" s="12"/>
      <c r="K73" s="12"/>
      <c r="L73" s="12"/>
      <c r="M73" s="12"/>
      <c r="N73" s="12"/>
      <c r="O73" s="12"/>
      <c r="P73" s="98"/>
      <c r="Q73" s="12"/>
      <c r="R73" s="12"/>
      <c r="S73" s="12"/>
      <c r="T73" s="210"/>
    </row>
    <row r="74" spans="1:20" ht="16.5">
      <c r="A74" s="99"/>
      <c r="B74" s="98"/>
      <c r="C74" s="12"/>
      <c r="D74" s="12"/>
      <c r="E74" s="12"/>
      <c r="F74" s="12"/>
      <c r="G74" s="12"/>
      <c r="H74" s="12"/>
      <c r="I74" s="98"/>
      <c r="J74" s="12"/>
      <c r="K74" s="12"/>
      <c r="L74" s="12"/>
      <c r="M74" s="12"/>
      <c r="N74" s="12"/>
      <c r="O74" s="12"/>
      <c r="P74" s="98"/>
      <c r="Q74" s="12"/>
      <c r="R74" s="12"/>
      <c r="S74" s="12"/>
      <c r="T74" s="210"/>
    </row>
    <row r="75" spans="1:20" ht="16.5">
      <c r="A75" s="99"/>
      <c r="B75" s="98"/>
      <c r="C75" s="12"/>
      <c r="D75" s="12"/>
      <c r="E75" s="12"/>
      <c r="F75" s="12"/>
      <c r="G75" s="12"/>
      <c r="H75" s="12"/>
      <c r="I75" s="98"/>
      <c r="J75" s="12"/>
      <c r="K75" s="12"/>
      <c r="L75" s="12"/>
      <c r="M75" s="12"/>
      <c r="N75" s="12"/>
      <c r="O75" s="12"/>
      <c r="P75" s="98"/>
      <c r="Q75" s="12"/>
      <c r="R75" s="12"/>
      <c r="S75" s="12"/>
      <c r="T75" s="210"/>
    </row>
    <row r="76" spans="1:20" ht="16.5">
      <c r="A76" s="99"/>
      <c r="B76" s="98"/>
      <c r="C76" s="12"/>
      <c r="D76" s="12"/>
      <c r="E76" s="12"/>
      <c r="F76" s="12"/>
      <c r="G76" s="12"/>
      <c r="H76" s="12"/>
      <c r="I76" s="98"/>
      <c r="J76" s="12"/>
      <c r="K76" s="12"/>
      <c r="L76" s="12"/>
      <c r="M76" s="12"/>
      <c r="N76" s="12"/>
      <c r="O76" s="12"/>
      <c r="P76" s="98"/>
      <c r="Q76" s="12"/>
      <c r="R76" s="12"/>
      <c r="S76" s="12"/>
      <c r="T76" s="210"/>
    </row>
    <row r="77" spans="1:20" ht="16.5">
      <c r="A77" s="99"/>
      <c r="B77" s="98"/>
      <c r="C77" s="12"/>
      <c r="D77" s="12"/>
      <c r="E77" s="12"/>
      <c r="F77" s="12"/>
      <c r="G77" s="12"/>
      <c r="H77" s="12"/>
      <c r="I77" s="98"/>
      <c r="J77" s="12"/>
      <c r="K77" s="12"/>
      <c r="L77" s="12"/>
      <c r="M77" s="12"/>
      <c r="N77" s="12"/>
      <c r="O77" s="12"/>
      <c r="P77" s="98"/>
      <c r="Q77" s="12"/>
      <c r="R77" s="12"/>
      <c r="S77" s="12"/>
      <c r="T77" s="210"/>
    </row>
    <row r="78" spans="1:20" ht="16.5">
      <c r="A78" s="99"/>
      <c r="B78" s="98"/>
      <c r="C78" s="12"/>
      <c r="D78" s="12"/>
      <c r="E78" s="12"/>
      <c r="F78" s="12"/>
      <c r="G78" s="12"/>
      <c r="H78" s="12"/>
      <c r="I78" s="98"/>
      <c r="J78" s="12"/>
      <c r="K78" s="12"/>
      <c r="L78" s="12"/>
      <c r="M78" s="12"/>
      <c r="N78" s="12"/>
      <c r="O78" s="12"/>
      <c r="P78" s="98"/>
      <c r="Q78" s="12"/>
      <c r="R78" s="12"/>
      <c r="S78" s="12"/>
      <c r="T78" s="210"/>
    </row>
    <row r="79" spans="1:20" ht="16.5">
      <c r="A79" s="242" t="s">
        <v>16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</row>
    <row r="80" spans="1:20" ht="16.5">
      <c r="A80" s="88" t="s">
        <v>200</v>
      </c>
      <c r="B80" s="240" t="s">
        <v>201</v>
      </c>
      <c r="C80" s="241"/>
      <c r="D80" s="240" t="s">
        <v>202</v>
      </c>
      <c r="E80" s="241"/>
      <c r="F80" s="240" t="s">
        <v>203</v>
      </c>
      <c r="G80" s="241"/>
      <c r="H80" s="89" t="s">
        <v>204</v>
      </c>
      <c r="I80" s="92" t="s">
        <v>205</v>
      </c>
      <c r="J80" s="240" t="s">
        <v>206</v>
      </c>
      <c r="K80" s="241"/>
      <c r="L80" s="240" t="s">
        <v>207</v>
      </c>
      <c r="M80" s="241"/>
      <c r="N80" s="240" t="s">
        <v>208</v>
      </c>
      <c r="O80" s="241"/>
      <c r="P80" s="90" t="s">
        <v>260</v>
      </c>
      <c r="Q80" s="240" t="s">
        <v>209</v>
      </c>
      <c r="R80" s="241"/>
      <c r="S80" s="11" t="s">
        <v>210</v>
      </c>
      <c r="T80" s="243" t="s">
        <v>211</v>
      </c>
    </row>
    <row r="81" spans="1:20" ht="16.5">
      <c r="A81" s="91" t="s">
        <v>84</v>
      </c>
      <c r="B81" s="92" t="s">
        <v>212</v>
      </c>
      <c r="C81" s="11" t="s">
        <v>213</v>
      </c>
      <c r="D81" s="11" t="s">
        <v>214</v>
      </c>
      <c r="E81" s="11" t="s">
        <v>215</v>
      </c>
      <c r="F81" s="11" t="s">
        <v>216</v>
      </c>
      <c r="G81" s="11" t="s">
        <v>217</v>
      </c>
      <c r="H81" s="11" t="s">
        <v>218</v>
      </c>
      <c r="I81" s="92" t="s">
        <v>219</v>
      </c>
      <c r="J81" s="11" t="s">
        <v>220</v>
      </c>
      <c r="K81" s="11" t="s">
        <v>221</v>
      </c>
      <c r="L81" s="11" t="s">
        <v>307</v>
      </c>
      <c r="M81" s="11" t="s">
        <v>222</v>
      </c>
      <c r="N81" s="11" t="s">
        <v>223</v>
      </c>
      <c r="O81" s="11" t="s">
        <v>224</v>
      </c>
      <c r="P81" s="92" t="s">
        <v>225</v>
      </c>
      <c r="Q81" s="11" t="s">
        <v>226</v>
      </c>
      <c r="R81" s="11" t="s">
        <v>227</v>
      </c>
      <c r="S81" s="11" t="s">
        <v>228</v>
      </c>
      <c r="T81" s="244"/>
    </row>
    <row r="82" spans="1:22" s="95" customFormat="1" ht="14.25">
      <c r="A82" s="93" t="s">
        <v>261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208"/>
      <c r="U82" s="104"/>
      <c r="V82" s="104"/>
    </row>
    <row r="83" spans="1:22" s="95" customFormat="1" ht="14.25">
      <c r="A83" s="92" t="s">
        <v>262</v>
      </c>
      <c r="B83" s="94">
        <v>0</v>
      </c>
      <c r="C83" s="94">
        <v>9500</v>
      </c>
      <c r="D83" s="94">
        <v>0</v>
      </c>
      <c r="E83" s="94">
        <v>0</v>
      </c>
      <c r="F83" s="94">
        <v>8300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208">
        <f aca="true" t="shared" si="15" ref="T83:T93">SUM(B83:S83)</f>
        <v>17800</v>
      </c>
      <c r="U83" s="104"/>
      <c r="V83" s="104"/>
    </row>
    <row r="84" spans="1:22" s="95" customFormat="1" ht="14.25">
      <c r="A84" s="92">
        <v>456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208">
        <f t="shared" si="15"/>
        <v>0</v>
      </c>
      <c r="U84" s="104"/>
      <c r="V84" s="104"/>
    </row>
    <row r="85" spans="1:22" s="95" customFormat="1" ht="14.25">
      <c r="A85" s="92">
        <v>457</v>
      </c>
      <c r="B85" s="94">
        <v>0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208">
        <f t="shared" si="15"/>
        <v>0</v>
      </c>
      <c r="U85" s="104"/>
      <c r="V85" s="104"/>
    </row>
    <row r="86" spans="1:22" s="95" customFormat="1" ht="14.25">
      <c r="A86" s="92">
        <v>458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208">
        <f t="shared" si="15"/>
        <v>0</v>
      </c>
      <c r="U86" s="104"/>
      <c r="V86" s="104"/>
    </row>
    <row r="87" spans="1:22" s="95" customFormat="1" ht="14.25">
      <c r="A87" s="92">
        <v>459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208">
        <f t="shared" si="15"/>
        <v>0</v>
      </c>
      <c r="U87" s="104"/>
      <c r="V87" s="104"/>
    </row>
    <row r="88" spans="1:22" s="95" customFormat="1" ht="14.25">
      <c r="A88" s="92">
        <v>463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208">
        <f t="shared" si="15"/>
        <v>0</v>
      </c>
      <c r="U88" s="104"/>
      <c r="V88" s="104"/>
    </row>
    <row r="89" spans="1:22" s="95" customFormat="1" ht="14.25">
      <c r="A89" s="92">
        <v>465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208">
        <f t="shared" si="15"/>
        <v>0</v>
      </c>
      <c r="U89" s="104"/>
      <c r="V89" s="104"/>
    </row>
    <row r="90" spans="1:22" s="95" customFormat="1" ht="14.25">
      <c r="A90" s="92">
        <v>466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208">
        <f t="shared" si="15"/>
        <v>0</v>
      </c>
      <c r="U90" s="104"/>
      <c r="V90" s="104"/>
    </row>
    <row r="91" spans="1:22" s="95" customFormat="1" ht="14.25">
      <c r="A91" s="92">
        <v>467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208">
        <f t="shared" si="15"/>
        <v>0</v>
      </c>
      <c r="U91" s="104"/>
      <c r="V91" s="104"/>
    </row>
    <row r="92" spans="1:22" s="95" customFormat="1" ht="14.25">
      <c r="A92" s="96" t="s">
        <v>232</v>
      </c>
      <c r="B92" s="94">
        <f>SUM(B83:B91)</f>
        <v>0</v>
      </c>
      <c r="C92" s="94">
        <f aca="true" t="shared" si="16" ref="C92:S92">SUM(C83:C91)</f>
        <v>9500</v>
      </c>
      <c r="D92" s="94">
        <f t="shared" si="16"/>
        <v>0</v>
      </c>
      <c r="E92" s="94">
        <f t="shared" si="16"/>
        <v>0</v>
      </c>
      <c r="F92" s="94">
        <f t="shared" si="16"/>
        <v>8300</v>
      </c>
      <c r="G92" s="94">
        <f>SUM(G83:G91)</f>
        <v>0</v>
      </c>
      <c r="H92" s="94">
        <f t="shared" si="16"/>
        <v>0</v>
      </c>
      <c r="I92" s="94">
        <f t="shared" si="16"/>
        <v>0</v>
      </c>
      <c r="J92" s="94">
        <f t="shared" si="16"/>
        <v>0</v>
      </c>
      <c r="K92" s="94">
        <f t="shared" si="16"/>
        <v>0</v>
      </c>
      <c r="L92" s="94">
        <f>SUM(L83:L91)</f>
        <v>0</v>
      </c>
      <c r="M92" s="94">
        <f t="shared" si="16"/>
        <v>0</v>
      </c>
      <c r="N92" s="94">
        <f t="shared" si="16"/>
        <v>0</v>
      </c>
      <c r="O92" s="94">
        <f t="shared" si="16"/>
        <v>0</v>
      </c>
      <c r="P92" s="94">
        <f t="shared" si="16"/>
        <v>0</v>
      </c>
      <c r="Q92" s="94">
        <f t="shared" si="16"/>
        <v>0</v>
      </c>
      <c r="R92" s="94">
        <f t="shared" si="16"/>
        <v>0</v>
      </c>
      <c r="S92" s="94">
        <f t="shared" si="16"/>
        <v>0</v>
      </c>
      <c r="T92" s="208">
        <f t="shared" si="15"/>
        <v>17800</v>
      </c>
      <c r="U92" s="104"/>
      <c r="V92" s="104"/>
    </row>
    <row r="93" spans="1:22" s="95" customFormat="1" ht="14.25">
      <c r="A93" s="96" t="s">
        <v>233</v>
      </c>
      <c r="B93" s="94">
        <f>SUM(39700+9500)</f>
        <v>49200</v>
      </c>
      <c r="C93" s="94">
        <f>SUM(6500+11000+9500)</f>
        <v>27000</v>
      </c>
      <c r="D93" s="94">
        <v>0</v>
      </c>
      <c r="E93" s="94">
        <v>0</v>
      </c>
      <c r="F93" s="94">
        <f>SUM(8300)</f>
        <v>8300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f>SUM(0)</f>
        <v>0</v>
      </c>
      <c r="M93" s="94">
        <v>0</v>
      </c>
      <c r="N93" s="94">
        <v>0</v>
      </c>
      <c r="O93" s="94">
        <v>0</v>
      </c>
      <c r="P93" s="94">
        <v>0</v>
      </c>
      <c r="Q93" s="94">
        <f>SUM(6500)</f>
        <v>6500</v>
      </c>
      <c r="R93" s="94">
        <v>0</v>
      </c>
      <c r="S93" s="94">
        <v>0</v>
      </c>
      <c r="T93" s="208">
        <f t="shared" si="15"/>
        <v>91000</v>
      </c>
      <c r="U93" s="104"/>
      <c r="V93" s="104"/>
    </row>
    <row r="94" spans="1:22" s="95" customFormat="1" ht="14.25">
      <c r="A94" s="93" t="s">
        <v>263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208"/>
      <c r="U94" s="104"/>
      <c r="V94" s="104"/>
    </row>
    <row r="95" spans="1:22" s="95" customFormat="1" ht="14.25">
      <c r="A95" s="92">
        <v>501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208">
        <f aca="true" t="shared" si="17" ref="T95:T107">SUM(B95:S95)</f>
        <v>0</v>
      </c>
      <c r="U95" s="104"/>
      <c r="V95" s="104"/>
    </row>
    <row r="96" spans="1:22" s="95" customFormat="1" ht="14.25">
      <c r="A96" s="92">
        <v>502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208">
        <f t="shared" si="17"/>
        <v>0</v>
      </c>
      <c r="U96" s="104"/>
      <c r="V96" s="104"/>
    </row>
    <row r="97" spans="1:22" s="95" customFormat="1" ht="14.25">
      <c r="A97" s="92">
        <v>507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08">
        <f t="shared" si="17"/>
        <v>0</v>
      </c>
      <c r="U97" s="104"/>
      <c r="V97" s="104"/>
    </row>
    <row r="98" spans="1:22" s="95" customFormat="1" ht="14.25">
      <c r="A98" s="92">
        <v>509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175000</v>
      </c>
      <c r="Q98" s="94">
        <v>0</v>
      </c>
      <c r="R98" s="94">
        <v>0</v>
      </c>
      <c r="S98" s="94">
        <v>0</v>
      </c>
      <c r="T98" s="208">
        <f>SUM(B98:S98)</f>
        <v>175000</v>
      </c>
      <c r="U98" s="104"/>
      <c r="V98" s="104"/>
    </row>
    <row r="99" spans="1:22" s="95" customFormat="1" ht="14.25">
      <c r="A99" s="92">
        <v>511</v>
      </c>
      <c r="B99" s="94">
        <v>0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208">
        <f t="shared" si="17"/>
        <v>0</v>
      </c>
      <c r="U99" s="104"/>
      <c r="V99" s="104"/>
    </row>
    <row r="100" spans="1:22" s="95" customFormat="1" ht="14.25">
      <c r="A100" s="92" t="s">
        <v>264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208">
        <f t="shared" si="17"/>
        <v>0</v>
      </c>
      <c r="U100" s="104"/>
      <c r="V100" s="104"/>
    </row>
    <row r="101" spans="1:22" s="95" customFormat="1" ht="14.25">
      <c r="A101" s="92" t="s">
        <v>265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208">
        <f t="shared" si="17"/>
        <v>0</v>
      </c>
      <c r="U101" s="104"/>
      <c r="V101" s="104"/>
    </row>
    <row r="102" spans="1:22" s="95" customFormat="1" ht="14.25">
      <c r="A102" s="92">
        <v>517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208">
        <f t="shared" si="17"/>
        <v>0</v>
      </c>
      <c r="U102" s="104"/>
      <c r="V102" s="104"/>
    </row>
    <row r="103" spans="1:22" s="95" customFormat="1" ht="14.25">
      <c r="A103" s="92">
        <v>519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208">
        <f t="shared" si="17"/>
        <v>0</v>
      </c>
      <c r="U103" s="104"/>
      <c r="V103" s="104"/>
    </row>
    <row r="104" spans="1:22" s="95" customFormat="1" ht="14.25">
      <c r="A104" s="96" t="s">
        <v>232</v>
      </c>
      <c r="B104" s="94">
        <f>SUM(B97:B102)</f>
        <v>0</v>
      </c>
      <c r="C104" s="94">
        <f aca="true" t="shared" si="18" ref="C104:S104">SUM(C97:C102)</f>
        <v>0</v>
      </c>
      <c r="D104" s="94">
        <f t="shared" si="18"/>
        <v>0</v>
      </c>
      <c r="E104" s="94">
        <f t="shared" si="18"/>
        <v>0</v>
      </c>
      <c r="F104" s="94">
        <f t="shared" si="18"/>
        <v>0</v>
      </c>
      <c r="G104" s="94">
        <f t="shared" si="18"/>
        <v>0</v>
      </c>
      <c r="H104" s="94">
        <f t="shared" si="18"/>
        <v>0</v>
      </c>
      <c r="I104" s="94">
        <f t="shared" si="18"/>
        <v>0</v>
      </c>
      <c r="J104" s="94">
        <f t="shared" si="18"/>
        <v>0</v>
      </c>
      <c r="K104" s="94">
        <f t="shared" si="18"/>
        <v>0</v>
      </c>
      <c r="L104" s="94">
        <f>SUM(L95:L103)</f>
        <v>0</v>
      </c>
      <c r="M104" s="94">
        <f t="shared" si="18"/>
        <v>0</v>
      </c>
      <c r="N104" s="94">
        <f t="shared" si="18"/>
        <v>0</v>
      </c>
      <c r="O104" s="94">
        <f t="shared" si="18"/>
        <v>0</v>
      </c>
      <c r="P104" s="94">
        <f t="shared" si="18"/>
        <v>175000</v>
      </c>
      <c r="Q104" s="94">
        <f t="shared" si="18"/>
        <v>0</v>
      </c>
      <c r="R104" s="94">
        <f t="shared" si="18"/>
        <v>0</v>
      </c>
      <c r="S104" s="94">
        <f t="shared" si="18"/>
        <v>0</v>
      </c>
      <c r="T104" s="208">
        <f t="shared" si="17"/>
        <v>175000</v>
      </c>
      <c r="U104" s="104"/>
      <c r="V104" s="104"/>
    </row>
    <row r="105" spans="1:22" s="95" customFormat="1" ht="14.25">
      <c r="A105" s="96" t="s">
        <v>233</v>
      </c>
      <c r="B105" s="94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f>SUM(0)</f>
        <v>0</v>
      </c>
      <c r="M105" s="94">
        <v>0</v>
      </c>
      <c r="N105" s="94">
        <v>0</v>
      </c>
      <c r="O105" s="94">
        <v>0</v>
      </c>
      <c r="P105" s="94">
        <f>SUM(175000)</f>
        <v>175000</v>
      </c>
      <c r="Q105" s="94">
        <v>0</v>
      </c>
      <c r="R105" s="94">
        <v>0</v>
      </c>
      <c r="S105" s="94">
        <v>0</v>
      </c>
      <c r="T105" s="208">
        <f t="shared" si="17"/>
        <v>175000</v>
      </c>
      <c r="U105" s="104"/>
      <c r="V105" s="104"/>
    </row>
    <row r="106" spans="1:22" s="95" customFormat="1" ht="14.25">
      <c r="A106" s="100">
        <v>550</v>
      </c>
      <c r="B106" s="94"/>
      <c r="C106" s="94"/>
      <c r="D106" s="94"/>
      <c r="E106" s="94"/>
      <c r="F106" s="94"/>
      <c r="G106" s="94">
        <v>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208"/>
      <c r="U106" s="104"/>
      <c r="V106" s="104"/>
    </row>
    <row r="107" spans="1:22" s="95" customFormat="1" ht="14.25">
      <c r="A107" s="101">
        <v>554</v>
      </c>
      <c r="B107" s="94">
        <v>0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208">
        <f t="shared" si="17"/>
        <v>0</v>
      </c>
      <c r="U107" s="104"/>
      <c r="V107" s="104"/>
    </row>
    <row r="108" spans="1:22" s="95" customFormat="1" ht="14.25">
      <c r="A108" s="96" t="s">
        <v>232</v>
      </c>
      <c r="B108" s="94">
        <f>SUM(B107)</f>
        <v>0</v>
      </c>
      <c r="C108" s="94">
        <f aca="true" t="shared" si="19" ref="C108:R108">SUM(C107)</f>
        <v>0</v>
      </c>
      <c r="D108" s="94">
        <f t="shared" si="19"/>
        <v>0</v>
      </c>
      <c r="E108" s="94">
        <f t="shared" si="19"/>
        <v>0</v>
      </c>
      <c r="F108" s="94">
        <v>0</v>
      </c>
      <c r="G108" s="94">
        <f t="shared" si="19"/>
        <v>0</v>
      </c>
      <c r="H108" s="94">
        <v>0</v>
      </c>
      <c r="I108" s="94">
        <f>SUM(I107)</f>
        <v>0</v>
      </c>
      <c r="J108" s="94">
        <f t="shared" si="19"/>
        <v>0</v>
      </c>
      <c r="K108" s="94">
        <f t="shared" si="19"/>
        <v>0</v>
      </c>
      <c r="L108" s="94">
        <f>SUM(L107)</f>
        <v>0</v>
      </c>
      <c r="M108" s="94">
        <f t="shared" si="19"/>
        <v>0</v>
      </c>
      <c r="N108" s="94">
        <f t="shared" si="19"/>
        <v>0</v>
      </c>
      <c r="O108" s="94">
        <f t="shared" si="19"/>
        <v>0</v>
      </c>
      <c r="P108" s="94">
        <f t="shared" si="19"/>
        <v>0</v>
      </c>
      <c r="Q108" s="94">
        <f t="shared" si="19"/>
        <v>0</v>
      </c>
      <c r="R108" s="94">
        <f t="shared" si="19"/>
        <v>0</v>
      </c>
      <c r="S108" s="94">
        <v>0</v>
      </c>
      <c r="T108" s="208">
        <f>SUM(B108:S108)</f>
        <v>0</v>
      </c>
      <c r="U108" s="104"/>
      <c r="V108" s="104"/>
    </row>
    <row r="109" spans="1:22" s="95" customFormat="1" ht="14.25">
      <c r="A109" s="96" t="s">
        <v>233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/>
      <c r="I109" s="94">
        <v>0</v>
      </c>
      <c r="J109" s="94">
        <v>0</v>
      </c>
      <c r="K109" s="94">
        <v>0</v>
      </c>
      <c r="L109" s="94">
        <f>SUM(0)</f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208">
        <f>SUM(B109:S109)</f>
        <v>0</v>
      </c>
      <c r="U109" s="104"/>
      <c r="V109" s="104"/>
    </row>
    <row r="110" spans="1:23" s="95" customFormat="1" ht="14.25">
      <c r="A110" s="96" t="s">
        <v>232</v>
      </c>
      <c r="B110" s="94">
        <f>SUM(B104+B92+B71+B67+B60+B50+B37+B23+B18+B10+B108+B28)</f>
        <v>401948.77</v>
      </c>
      <c r="C110" s="94">
        <f aca="true" t="shared" si="20" ref="C110:S110">SUM(C104+C92+C71+C67+C60+C50+C37+C23+C18+C10+C108+C28)</f>
        <v>81901.67</v>
      </c>
      <c r="D110" s="94">
        <f t="shared" si="20"/>
        <v>0</v>
      </c>
      <c r="E110" s="94">
        <f t="shared" si="20"/>
        <v>0</v>
      </c>
      <c r="F110" s="94">
        <f t="shared" si="20"/>
        <v>57170</v>
      </c>
      <c r="G110" s="94">
        <f t="shared" si="20"/>
        <v>150694.1</v>
      </c>
      <c r="H110" s="94">
        <f t="shared" si="20"/>
        <v>0</v>
      </c>
      <c r="I110" s="94">
        <f t="shared" si="20"/>
        <v>0</v>
      </c>
      <c r="J110" s="94">
        <f t="shared" si="20"/>
        <v>38020</v>
      </c>
      <c r="K110" s="94">
        <f t="shared" si="20"/>
        <v>1410.26</v>
      </c>
      <c r="L110" s="94">
        <f t="shared" si="20"/>
        <v>25251.14</v>
      </c>
      <c r="M110" s="94">
        <f t="shared" si="20"/>
        <v>10000</v>
      </c>
      <c r="N110" s="94">
        <f t="shared" si="20"/>
        <v>0</v>
      </c>
      <c r="O110" s="94">
        <f t="shared" si="20"/>
        <v>20000</v>
      </c>
      <c r="P110" s="94">
        <f t="shared" si="20"/>
        <v>175000</v>
      </c>
      <c r="Q110" s="94">
        <f t="shared" si="20"/>
        <v>17400</v>
      </c>
      <c r="R110" s="94">
        <f t="shared" si="20"/>
        <v>0</v>
      </c>
      <c r="S110" s="94">
        <f t="shared" si="20"/>
        <v>7860</v>
      </c>
      <c r="T110" s="208">
        <f>SUM(B110:S110)</f>
        <v>986655.94</v>
      </c>
      <c r="U110" s="104"/>
      <c r="V110" s="104"/>
      <c r="W110" s="207"/>
    </row>
    <row r="111" spans="1:23" s="95" customFormat="1" ht="14.25">
      <c r="A111" s="96" t="s">
        <v>233</v>
      </c>
      <c r="B111" s="94">
        <f>SUM(B105+B93+B72+B68+B61+B51+B38+B24+B19+B11+B109+B29)</f>
        <v>4055960.25</v>
      </c>
      <c r="C111" s="94">
        <f aca="true" t="shared" si="21" ref="C111:S111">SUM(C105+C93+C72+C68+C61+C51+C38+C24+C19+C11+C109+C29)</f>
        <v>1088767</v>
      </c>
      <c r="D111" s="94">
        <f t="shared" si="21"/>
        <v>226800</v>
      </c>
      <c r="E111" s="94">
        <f t="shared" si="21"/>
        <v>0</v>
      </c>
      <c r="F111" s="94">
        <f t="shared" si="21"/>
        <v>383477</v>
      </c>
      <c r="G111" s="94">
        <f t="shared" si="21"/>
        <v>2848094.52</v>
      </c>
      <c r="H111" s="94">
        <f t="shared" si="21"/>
        <v>263000</v>
      </c>
      <c r="I111" s="94">
        <f t="shared" si="21"/>
        <v>166000</v>
      </c>
      <c r="J111" s="94">
        <f t="shared" si="21"/>
        <v>373174</v>
      </c>
      <c r="K111" s="94">
        <f t="shared" si="21"/>
        <v>1410.26</v>
      </c>
      <c r="L111" s="94">
        <f t="shared" si="21"/>
        <v>295168.68</v>
      </c>
      <c r="M111" s="94">
        <f t="shared" si="21"/>
        <v>10000</v>
      </c>
      <c r="N111" s="94">
        <f t="shared" si="21"/>
        <v>318481</v>
      </c>
      <c r="O111" s="94">
        <f t="shared" si="21"/>
        <v>256550</v>
      </c>
      <c r="P111" s="94">
        <f t="shared" si="21"/>
        <v>175000</v>
      </c>
      <c r="Q111" s="94">
        <f t="shared" si="21"/>
        <v>279580</v>
      </c>
      <c r="R111" s="94">
        <f t="shared" si="21"/>
        <v>0</v>
      </c>
      <c r="S111" s="94">
        <f t="shared" si="21"/>
        <v>250884</v>
      </c>
      <c r="T111" s="208">
        <f>SUM(B111:S111)</f>
        <v>10992346.709999999</v>
      </c>
      <c r="U111" s="104"/>
      <c r="V111" s="104"/>
      <c r="W111" s="207"/>
    </row>
  </sheetData>
  <sheetProtection/>
  <mergeCells count="29">
    <mergeCell ref="A1:T1"/>
    <mergeCell ref="A2:T2"/>
    <mergeCell ref="A3:T3"/>
    <mergeCell ref="B4:C4"/>
    <mergeCell ref="D4:E4"/>
    <mergeCell ref="T4:T5"/>
    <mergeCell ref="F4:G4"/>
    <mergeCell ref="A42:T42"/>
    <mergeCell ref="T43:T44"/>
    <mergeCell ref="T80:T81"/>
    <mergeCell ref="Q80:R80"/>
    <mergeCell ref="D43:E43"/>
    <mergeCell ref="Q43:R43"/>
    <mergeCell ref="N43:O43"/>
    <mergeCell ref="L43:M43"/>
    <mergeCell ref="J4:K4"/>
    <mergeCell ref="Q4:R4"/>
    <mergeCell ref="L4:M4"/>
    <mergeCell ref="N4:O4"/>
    <mergeCell ref="F43:G43"/>
    <mergeCell ref="D80:E80"/>
    <mergeCell ref="B43:C43"/>
    <mergeCell ref="J80:K80"/>
    <mergeCell ref="J43:K43"/>
    <mergeCell ref="F80:G80"/>
    <mergeCell ref="A79:T79"/>
    <mergeCell ref="B80:C80"/>
    <mergeCell ref="N80:O80"/>
    <mergeCell ref="L80:M80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2013-08-07T08:47:12Z</cp:lastPrinted>
  <dcterms:created xsi:type="dcterms:W3CDTF">2004-02-04T07:28:13Z</dcterms:created>
  <dcterms:modified xsi:type="dcterms:W3CDTF">2014-06-13T06:15:34Z</dcterms:modified>
  <cp:category/>
  <cp:version/>
  <cp:contentType/>
  <cp:contentStatus/>
</cp:coreProperties>
</file>