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598" firstSheet="4" activeTab="8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หมายเหตุ4" sheetId="6" r:id="rId6"/>
    <sheet name="กระทบยอดเงินฝาก" sheetId="7" r:id="rId7"/>
    <sheet name="รับ-จ่ายเงินสด" sheetId="8" r:id="rId8"/>
    <sheet name="กระดาษทำการกระทบยอด" sheetId="9" r:id="rId9"/>
  </sheets>
  <definedNames>
    <definedName name="_xlfn.BAHTTEXT" hidden="1">#NAME?</definedName>
    <definedName name="_xlnm.Print_Area" localSheetId="7">'รับ-จ่ายเงินสด'!$A$1:$H$115</definedName>
  </definedNames>
  <calcPr fullCalcOnLoad="1"/>
</workbook>
</file>

<file path=xl/sharedStrings.xml><?xml version="1.0" encoding="utf-8"?>
<sst xmlns="http://schemas.openxmlformats.org/spreadsheetml/2006/main" count="585" uniqueCount="373">
  <si>
    <t>เรื่อง  รายงานแสดงรายรับรายจ่ายและงบทดลอง  ประจำเดือนธันวาคม  2555</t>
  </si>
  <si>
    <t>ประจำเดือนธันวาคม พ.ศ. 2555 ตามที่แนบท้ายประกาศนี้</t>
  </si>
  <si>
    <t>ประจำเดือนธันวาคม   2555</t>
  </si>
  <si>
    <t xml:space="preserve"> - โครงการสนับสนุนการเสริมสร้างสวัสดิการทางสังคมให้แก่คนพิการหรือทุพลภาพ</t>
  </si>
  <si>
    <t xml:space="preserve">บัญชีเงินฝากธนาคารกรุงไทย (ออมทรัพย์) </t>
  </si>
  <si>
    <t>0224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</si>
  <si>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</si>
  <si>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</si>
  <si>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</si>
  <si>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</si>
  <si>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</si>
  <si>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704</t>
  </si>
  <si>
    <t>5100</t>
  </si>
  <si>
    <t>5120</t>
  </si>
  <si>
    <t>5250</t>
  </si>
  <si>
    <t>5300</t>
  </si>
  <si>
    <t>5450</t>
  </si>
  <si>
    <t>บัญชีเงินทุนสำรองเงินสะสม</t>
  </si>
  <si>
    <t xml:space="preserve"> -3-</t>
  </si>
  <si>
    <t xml:space="preserve"> -2-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</si>
  <si>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</si>
  <si>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</si>
  <si>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</si>
  <si>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</si>
  <si>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</si>
  <si>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</si>
  <si>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</si>
  <si>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</si>
  <si>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</si>
  <si>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</si>
  <si>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</si>
  <si>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</si>
  <si>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</si>
  <si>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</si>
  <si>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</si>
  <si>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</si>
  <si>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</si>
  <si>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</si>
  <si>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</si>
  <si>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</si>
  <si>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</si>
  <si>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</si>
  <si>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</si>
  <si>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</si>
  <si>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</si>
  <si>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</si>
  <si>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900</t>
  </si>
  <si>
    <t>090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</si>
  <si>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</si>
  <si>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</si>
  <si>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</si>
  <si>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</si>
  <si>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</si>
  <si>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ค่าใช้สอย</t>
  </si>
  <si>
    <t>ค่าวัสดุ</t>
  </si>
  <si>
    <t>5270</t>
  </si>
  <si>
    <t>ค่าสาธารณูปโภค</t>
  </si>
  <si>
    <t>ค่าครุภัณฑ์</t>
  </si>
  <si>
    <t>ค่าที่ดินและสิ่งก่อสร้าง</t>
  </si>
  <si>
    <t>5500</t>
  </si>
  <si>
    <t>รายจ่ายค้างจ่าย</t>
  </si>
  <si>
    <t>600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</si>
  <si>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</si>
  <si>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</si>
  <si>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</si>
  <si>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</si>
  <si>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</si>
  <si>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0101</t>
  </si>
  <si>
    <t>0102</t>
  </si>
  <si>
    <t>0103</t>
  </si>
  <si>
    <t>0121</t>
  </si>
  <si>
    <t xml:space="preserve"> -ค่าธรรมเนียมเกี่ยวกับการควบคุมการฆ่าสัตว์และจำหน่ายเนื้อสัตว์</t>
  </si>
  <si>
    <t>0122</t>
  </si>
  <si>
    <t>0140</t>
  </si>
  <si>
    <t>0203</t>
  </si>
  <si>
    <t>0301</t>
  </si>
  <si>
    <t>1001</t>
  </si>
  <si>
    <t>1002</t>
  </si>
  <si>
    <t>1004</t>
  </si>
  <si>
    <t>1005</t>
  </si>
  <si>
    <t>1006</t>
  </si>
  <si>
    <t>1010</t>
  </si>
  <si>
    <t>1011</t>
  </si>
  <si>
    <t>1013</t>
  </si>
  <si>
    <t xml:space="preserve"> -ค่าธรรมเนียมจดทะเบียนสิทธิและนิติกรรมที่ดิน</t>
  </si>
  <si>
    <t>2002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</si>
  <si>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</si>
  <si>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</si>
  <si>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</si>
  <si>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</si>
  <si>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</si>
  <si>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</si>
  <si>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</si>
  <si>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</si>
  <si>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</si>
  <si>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</si>
  <si>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</si>
  <si>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</si>
  <si>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บัญชีค่าจ้างประจำ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</si>
  <si>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</si>
  <si>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</si>
  <si>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</si>
  <si>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</si>
  <si>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</si>
  <si>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</si>
  <si>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</si>
  <si>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</si>
  <si>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010</t>
  </si>
  <si>
    <t>-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</si>
  <si>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</si>
  <si>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</si>
  <si>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</si>
  <si>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</si>
  <si>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</si>
  <si>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</si>
  <si>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>เงินมัดจำประกันสัญญา</t>
  </si>
  <si>
    <t xml:space="preserve">       งบทดลอง </t>
  </si>
  <si>
    <t>0211</t>
  </si>
  <si>
    <t>0221</t>
  </si>
  <si>
    <t>0222</t>
  </si>
  <si>
    <t>5000</t>
  </si>
  <si>
    <t>700</t>
  </si>
  <si>
    <t>ประมาณการ</t>
  </si>
  <si>
    <t>รายรับจริง</t>
  </si>
  <si>
    <t xml:space="preserve"> -ภาษีโรงเรือนและที่ดิน</t>
  </si>
  <si>
    <t xml:space="preserve"> -ภาษีบำรุงท้องที่ </t>
  </si>
  <si>
    <t xml:space="preserve"> -อากรฆ่าสัตว์</t>
  </si>
  <si>
    <t xml:space="preserve"> -ค่าธรรมเนียมใบอนุญาตขายสุรา</t>
  </si>
  <si>
    <t xml:space="preserve"> -ค่าปรับผิดสัญญา</t>
  </si>
  <si>
    <t xml:space="preserve"> -ดอกเบี้ยเงินฝากธนาคาร</t>
  </si>
  <si>
    <t xml:space="preserve"> -ค่าแบบแปลนและเอกสารสอบราคา</t>
  </si>
  <si>
    <t xml:space="preserve"> -ภาษีและค่าธรรมเนียมรถยนต์หรือล้อเลื่อน</t>
  </si>
  <si>
    <t xml:space="preserve"> -ภาษีธุรกิจเฉพาะ</t>
  </si>
  <si>
    <t xml:space="preserve"> -ภาษีสุรา</t>
  </si>
  <si>
    <t xml:space="preserve"> -ภาษีสรรพสามิต</t>
  </si>
  <si>
    <t xml:space="preserve"> -ค่าภาคหลวงแร่</t>
  </si>
  <si>
    <t xml:space="preserve"> -ค่าภาคหลวงปิโตเลียม</t>
  </si>
  <si>
    <t xml:space="preserve"> -เงินอุดหนุนทั่วไป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</si>
  <si>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</si>
  <si>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</si>
  <si>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</si>
  <si>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</si>
  <si>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</si>
  <si>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</si>
  <si>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</si>
  <si>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</si>
  <si>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</si>
  <si>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</si>
  <si>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</si>
  <si>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</si>
  <si>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 xml:space="preserve"> 6000</t>
  </si>
  <si>
    <t>6500</t>
  </si>
  <si>
    <t>บัญชีเงินฝากธนาคารออมสิน (ประจำ)</t>
  </si>
  <si>
    <t>0231</t>
  </si>
  <si>
    <t>0232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</si>
  <si>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</si>
  <si>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</si>
  <si>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</si>
  <si>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</si>
  <si>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</si>
  <si>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</si>
  <si>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</si>
  <si>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</si>
  <si>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</si>
  <si>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</si>
  <si>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</si>
  <si>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</si>
  <si>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</si>
  <si>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</si>
  <si>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</si>
  <si>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 xml:space="preserve">รายละเอียด  (หัก) 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</si>
  <si>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</si>
  <si>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</si>
  <si>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</si>
  <si>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</si>
  <si>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ตำแหน่ง  หัวหน้าส่วนการคลัง อบต.โคกตูม</t>
  </si>
  <si>
    <t>รายจ่ายรอจ่าย</t>
  </si>
  <si>
    <t>บัญชีค่าจ้างชั่วคราว</t>
  </si>
  <si>
    <t>ค่าจ้างชั่วคราว</t>
  </si>
  <si>
    <t>5130</t>
  </si>
  <si>
    <t>6250</t>
  </si>
  <si>
    <t>5400</t>
  </si>
  <si>
    <t>6400</t>
  </si>
  <si>
    <t>6450</t>
  </si>
  <si>
    <t>6000</t>
  </si>
  <si>
    <t>ค่าตอบแทน</t>
  </si>
  <si>
    <t>5200</t>
  </si>
  <si>
    <t>6270</t>
  </si>
  <si>
    <t>0307</t>
  </si>
  <si>
    <t>เงินสะสม</t>
  </si>
  <si>
    <t xml:space="preserve"> 700</t>
  </si>
  <si>
    <t>ค่าตอบแทนหน่วยการแพทย์ฉุกเฉิน</t>
  </si>
  <si>
    <t>604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</si>
  <si>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</si>
  <si>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</si>
  <si>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3000</t>
  </si>
  <si>
    <t>เงินอุดหนุนเฉพาะกิจ</t>
  </si>
  <si>
    <t>บัญชีเงินอุดหนุนเฉพาะกิจฝากคลังจังหวัด</t>
  </si>
  <si>
    <t>012</t>
  </si>
  <si>
    <t>รายรับจริงประกอบงบทดลองและรายงานรับ - จ่ายเงินสด</t>
  </si>
  <si>
    <t xml:space="preserve"> -รายได้เบ็ดเตล็ดอื่น ๆ</t>
  </si>
  <si>
    <t>(นายหนึ่ง  พริ้งเพราะ)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</si>
  <si>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</si>
  <si>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</si>
  <si>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</si>
  <si>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</si>
  <si>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</si>
  <si>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</si>
  <si>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</si>
  <si>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</si>
  <si>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</si>
  <si>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</si>
  <si>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</si>
  <si>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</si>
  <si>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</si>
  <si>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</si>
  <si>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</si>
  <si>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</si>
  <si>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</si>
  <si>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</si>
  <si>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</si>
  <si>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</si>
  <si>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</si>
  <si>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</si>
  <si>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</si>
  <si>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</si>
  <si>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</si>
  <si>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</si>
  <si>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</si>
  <si>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</si>
  <si>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</si>
  <si>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</si>
  <si>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</si>
  <si>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000</t>
  </si>
  <si>
    <t>002</t>
  </si>
  <si>
    <t>004</t>
  </si>
  <si>
    <t>รวมเดือนนี้</t>
  </si>
  <si>
    <t>รวมตั้งแต่ต้นปี</t>
  </si>
  <si>
    <t>100</t>
  </si>
  <si>
    <t>120</t>
  </si>
  <si>
    <t>121</t>
  </si>
  <si>
    <t>130</t>
  </si>
  <si>
    <t>131</t>
  </si>
  <si>
    <t>200</t>
  </si>
  <si>
    <t>201</t>
  </si>
  <si>
    <t>203</t>
  </si>
  <si>
    <t>206</t>
  </si>
  <si>
    <t>207</t>
  </si>
  <si>
    <t>208</t>
  </si>
  <si>
    <t>250</t>
  </si>
  <si>
    <t>252</t>
  </si>
  <si>
    <t>253</t>
  </si>
  <si>
    <t>254</t>
  </si>
  <si>
    <t>270</t>
  </si>
  <si>
    <t>271</t>
  </si>
  <si>
    <t>272</t>
  </si>
  <si>
    <t>273</t>
  </si>
  <si>
    <t>279</t>
  </si>
  <si>
    <t>282</t>
  </si>
  <si>
    <t>300</t>
  </si>
  <si>
    <t>301</t>
  </si>
  <si>
    <t>305</t>
  </si>
  <si>
    <t>400</t>
  </si>
  <si>
    <t>403</t>
  </si>
  <si>
    <t>00310</t>
  </si>
  <si>
    <t>450</t>
  </si>
  <si>
    <t>451</t>
  </si>
  <si>
    <t>500</t>
  </si>
  <si>
    <t>513</t>
  </si>
  <si>
    <t>516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</si>
  <si>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</si>
  <si>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</si>
  <si>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</si>
  <si>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</si>
  <si>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</si>
  <si>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</si>
  <si>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</si>
  <si>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</si>
  <si>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</si>
  <si>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</si>
  <si>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601</t>
  </si>
  <si>
    <t>602</t>
  </si>
  <si>
    <t>รายจ่ายตามงบประมาณ (จ่ายจากรายรับ)</t>
  </si>
  <si>
    <t>เงินรับฝาก (หมายเหตุ 2)</t>
  </si>
  <si>
    <t>เงินอุดหนุนเฉพาะกิจค้างจ่าย (หมายเหตุ 3)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</si>
  <si>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</si>
  <si>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</si>
  <si>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</si>
  <si>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 xml:space="preserve"> -</t>
  </si>
  <si>
    <t>ภาษีหักหน้าฎีกา</t>
  </si>
  <si>
    <t>999</t>
  </si>
  <si>
    <t>ธนาคารเพื่อการเกษตรและสหกรณ์การเกษตร</t>
  </si>
  <si>
    <t>เลขที่บัญชี  340-2-48197-3</t>
  </si>
  <si>
    <t>บัญชีลูกหนี้ภาษีบำรุงท้องที่ 89%</t>
  </si>
  <si>
    <t>082</t>
  </si>
  <si>
    <t>ลูกหนี้โครงการเศรษฐกิจชุมชน</t>
  </si>
  <si>
    <t>003</t>
  </si>
  <si>
    <t>เงินทุนสำรองเงินสะสม</t>
  </si>
  <si>
    <t xml:space="preserve"> 082</t>
  </si>
  <si>
    <t>ลูกหนี้ภาษีบำรุงท้องที่ 89%</t>
  </si>
  <si>
    <t>รายละเอียด  (หัก)  เช็คยังไม่จ่ายผู้รับเงิน</t>
  </si>
  <si>
    <t>7000</t>
  </si>
  <si>
    <t>เงินอุดหนุนเฉพาะกิจ (งบกลาง)</t>
  </si>
  <si>
    <t>เงินอุดหนุนเฉพาะกิจ (ที่ดินและสิ่งก่อสร้าง)</t>
  </si>
  <si>
    <t>7500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</si>
  <si>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</si>
  <si>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</si>
  <si>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</si>
  <si>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</si>
  <si>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รายได้จากโครงการไทยเข้มแข็ง (23,000 ล้านบาท)</t>
  </si>
  <si>
    <t xml:space="preserve">  - </t>
  </si>
  <si>
    <t xml:space="preserve"> 5550</t>
  </si>
  <si>
    <t>6550</t>
  </si>
  <si>
    <t>บัญชีรายจ่ายผัดส่งใบสำคัญ</t>
  </si>
  <si>
    <t>เลขที่บัญชี  316-0-00650-6</t>
  </si>
  <si>
    <t xml:space="preserve"> -ภาษีมูลค่าเพิ่ม </t>
  </si>
  <si>
    <t>ตำแหน่ง  นักวิชาการเงินและบัญชี</t>
  </si>
  <si>
    <t>ตำแหน่ง นักวิชาการเงินและบัญชี</t>
  </si>
  <si>
    <t xml:space="preserve">ธนาคารออมสิน  </t>
  </si>
  <si>
    <t>ดอกเบี้ยเงินฝากยังไม่ได้บันทึกบัญชี</t>
  </si>
  <si>
    <t>เลขที่บัญชี   06-4304-34-001457-0</t>
  </si>
  <si>
    <t xml:space="preserve"> -ค่าใบอนุญาตอื่น ๆ</t>
  </si>
  <si>
    <t>0148</t>
  </si>
  <si>
    <t xml:space="preserve">วันที่  30  กันยายน   2554 </t>
  </si>
  <si>
    <t>ยอดคงเหลือตามรายงานธนาคาร ณ วันที่  30  กันยายน พ.ศ. 2554</t>
  </si>
  <si>
    <t>ยอดคงเหลือตามบัญชี ณ วันที่ วันที่ 30  กันยายน พ.ศ. 2554</t>
  </si>
  <si>
    <t>วันที่  30  กันยายน  2554</t>
  </si>
  <si>
    <t>วันที่  30 กันยายน   2554</t>
  </si>
  <si>
    <t xml:space="preserve">ยอดคงเหลือตามรายงานธนาคาร ณ วันที่  30  กันยายน 2554 </t>
  </si>
  <si>
    <t xml:space="preserve">ยอดคงเหลือตามบัญชี ณ วันที่  30   กันยายน   2554  </t>
  </si>
  <si>
    <t>00251</t>
  </si>
  <si>
    <t>ปีงบประมาณ 2556</t>
  </si>
  <si>
    <t>บัญชีรายจ่ายค้างจ่าย (หมายเหตุ3)</t>
  </si>
  <si>
    <t>บัญชีรายจ่ายรอจ่าย (หมายเหตุ 4)</t>
  </si>
  <si>
    <t>6200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</si>
  <si>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</si>
  <si>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</si>
  <si>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</si>
  <si>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</si>
  <si>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</si>
  <si>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</si>
  <si>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ค่าวัสดุ/ค่าวัสดุเครื่องแต่งกายชุด อปพร.</t>
  </si>
  <si>
    <t>ค่าวัสดุ/ค่าวัสดุสำนักงาน(จ้างพิมพ์ใบเสร็จรับเงินศูนย์พัฒนาแด็กเล็ก)</t>
  </si>
  <si>
    <t>ครุภัณฑ์/ครุภัณฑ์คอมพิวเตอร์  - สำนักงานปลัด</t>
  </si>
  <si>
    <t>ครุภัณฑ์/ครุภัณฑ์คอมพิวเตอร์  -  ส่วนโยธา</t>
  </si>
  <si>
    <t>ครุภัณฑ์/ ครุภัณฑ์คอมพิวเตอร์  ส่วนส่งเสริมการเกษตร</t>
  </si>
  <si>
    <t>ครุภัณฑ์ /ครุภัณฑ์คอมพิวเตอร์ - ส่วนสวัสดิการสังคมและสงเคราะห์</t>
  </si>
  <si>
    <t>ที่ดินและสิ่งก่อสร้าง / อาคารศูนย์พัฒนาเด็กเล็กตำบลโคกตู ม</t>
  </si>
  <si>
    <t>ค่าตอบแทน/เงินประโยชน์ตอบแทนอื่นกรณีพิเศษพนักงานส่วนตำบล - สำนักงานปลัด</t>
  </si>
  <si>
    <t>ค่าตอบแทน/เงินประโยชน์ตอบแทนอื่นกรณีพิเศษพนักงานจ้างฯ - สำนักงานปลัด</t>
  </si>
  <si>
    <t>ค่าตอบแทน/เงินประโยชน์ตอบแทนอื่นกรณีพิเศษพนักงานส่วนตำบล - ส่วนการคลัง</t>
  </si>
  <si>
    <t>ค่าตอบแทน/เงินประโยชน์ตอบแทนอื่นกรณีพิเศษพนักงานจ้างฯ- ส่วนการคลัง</t>
  </si>
  <si>
    <t>ค่าตอบแทน/เงินประโยชน์ตอบแทนอื่นกรณีพิเศษพนักงานส่วนตำบล - ส่วนโยธา</t>
  </si>
  <si>
    <t>ค่าตอบแทน/เงินประโยชน์ตอบแทนอื่นกรณีพิเศษพนักงานส่วนตำบล - ส่วนการศึกษา</t>
  </si>
  <si>
    <t>ค่าตอบแทน/เงินประโยชน์ตอบแทนอื่นกรณีพิเศษพนักงานจ้างฯ - ส่วนการศึกษา</t>
  </si>
  <si>
    <t>ค่าตอบแทน/เงินประโยชน์ตอบแทนอื่นกรณีพิเศษพนักงานส่วนตำบล - ส่วนสวัสดิการฯ</t>
  </si>
  <si>
    <t>ค่าตอบแทน/เงินประโยชน์ตอบแทนอื่นกรณีพิเศษพนักงานจ้าง - ส่วนสวัสดิการฯ</t>
  </si>
  <si>
    <t>ค่าตอบแทน/เงินประโยชน์ตอบแทนอื่นกรณีพิเศษพนักงานส่วนตำบล - ส่วนส่งเสริมการเกษตร</t>
  </si>
  <si>
    <t>ตำแหน่ง ผู้อำนวยการกองคลัง</t>
  </si>
  <si>
    <t>บัญชีเงินรายรับ  (หมายเหตุ 1)  ณ  วันที่ 31  ธันวาคม  พ.ศ. 2555</t>
  </si>
  <si>
    <t xml:space="preserve"> -เงินอุดหนุนเฉพาะกิจตามโครงการสร้างหลักประกันรายได้ให้แก่ผู้สูงอายุ</t>
  </si>
  <si>
    <t xml:space="preserve"> - เงินอุดหนุนเฉพาะกิจค่าตอบแทนครูผู้ดูแลเด็กศูนย์พัฒนาเด็กเล็ก</t>
  </si>
  <si>
    <t>บัญชีเงินรับฝาก  (หมายเหตุ 2)  ณ  วันที่ 31  ธันวาคม พ.ศ. 2555</t>
  </si>
  <si>
    <t xml:space="preserve">       ณ  วันที่ 31 ธันวาคม  พ.ศ.  2555</t>
  </si>
  <si>
    <t xml:space="preserve">ยอดคงเหลือตามรายงานธนาคาร ณ วันที่  31 ธันวาคม  2555 </t>
  </si>
  <si>
    <t xml:space="preserve">  28   ธันวาคม  2555</t>
  </si>
  <si>
    <t>0098317</t>
  </si>
  <si>
    <t>วันที่  31  ธันวาคม  2555</t>
  </si>
  <si>
    <t>ยอดคงเหลือตามบัญชี ณ วันที่  31  ธันวาคม   2555</t>
  </si>
  <si>
    <t>ประจำเดือน  ธันวาคม  2555</t>
  </si>
  <si>
    <t>บัญชีรายจ่ายค้างจ่าย   (หมายเหตุ3)   ณ  วันที่  31  ธันวาคม  พ.ศ. 2555</t>
  </si>
  <si>
    <t>บัญชีรายจ่ายรอจ่าย  (หมายเหตุ 4)   ณ  วันที่ 31 ธันวาคม   พ.ศ. 2555</t>
  </si>
  <si>
    <t>ประกาศ  ณ  วันที่      4      มกราคม   พ.ศ.  2556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</si>
</sst>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_-;\-* #,##0.0_-;_-* &quot;-&quot;??_-;_-@_-"/>
    <numFmt numFmtId="204" formatCode="_-* #,##0_-;\-* #,##0_-;_-* &quot;-&quot;??_-;_-@_-"/>
    <numFmt numFmtId="205" formatCode="mmm\-yyyy"/>
    <numFmt numFmtId="206" formatCode="_-* #,##0.0000_-;\-* #,##0.0000_-;_-* &quot;-&quot;????_-;_-@_-"/>
  </numFmts>
  <fonts count="70">
    <font>
      <sz val="10"/>
      <name val="Arial"/>
      <family val="0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ngsana New"/>
      <family val="1"/>
    </font>
    <font>
      <b/>
      <sz val="18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9"/>
      <name val="Arial"/>
      <family val="0"/>
    </font>
    <font>
      <b/>
      <sz val="10"/>
      <color indexed="8"/>
      <name val="Arial"/>
      <family val="0"/>
    </font>
    <font>
      <sz val="10"/>
      <color indexed="1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0"/>
    </font>
    <font>
      <u val="single"/>
      <sz val="11"/>
      <name val="Angsana New"/>
      <family val="1"/>
    </font>
    <font>
      <u val="single"/>
      <sz val="12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sz val="13"/>
      <name val="Arial"/>
      <family val="0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13"/>
      <color indexed="10"/>
      <name val="Angsana New"/>
      <family val="1"/>
    </font>
    <font>
      <sz val="13"/>
      <color indexed="21"/>
      <name val="Angsana New"/>
      <family val="1"/>
    </font>
    <font>
      <sz val="13"/>
      <color indexed="57"/>
      <name val="Angsana New"/>
      <family val="1"/>
    </font>
    <font>
      <sz val="9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2" fillId="20" borderId="0" applyNumberFormat="0" applyBorder="0" applyAlignment="0" applyProtection="0"/>
    <xf numFmtId="0" fontId="17" fillId="21" borderId="1" applyNumberFormat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25" borderId="5" applyNumberFormat="0" applyAlignment="0" applyProtection="0"/>
    <xf numFmtId="0" fontId="0" fillId="26" borderId="6" applyNumberFormat="0" applyFont="0" applyAlignment="0" applyProtection="0"/>
    <xf numFmtId="0" fontId="13" fillId="27" borderId="0" applyNumberFormat="0" applyBorder="0" applyAlignment="0" applyProtection="0"/>
    <xf numFmtId="0" fontId="0" fillId="27" borderId="7" applyNumberFormat="0" applyFont="0" applyAlignment="0" applyProtection="0"/>
    <xf numFmtId="0" fontId="16" fillId="28" borderId="8" applyNumberForma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55" fillId="29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1" applyNumberFormat="0" applyAlignment="0" applyProtection="0"/>
    <xf numFmtId="0" fontId="60" fillId="0" borderId="12" applyNumberFormat="0" applyFill="0" applyAlignment="0" applyProtection="0"/>
    <xf numFmtId="0" fontId="61" fillId="31" borderId="0" applyNumberFormat="0" applyBorder="0" applyAlignment="0" applyProtection="0"/>
    <xf numFmtId="0" fontId="62" fillId="32" borderId="10" applyNumberFormat="0" applyAlignment="0" applyProtection="0"/>
    <xf numFmtId="0" fontId="63" fillId="33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66" fillId="29" borderId="14" applyNumberFormat="0" applyAlignment="0" applyProtection="0"/>
    <xf numFmtId="0" fontId="0" fillId="41" borderId="15" applyNumberFormat="0" applyFont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43" fontId="1" fillId="0" borderId="20" xfId="57" applyFont="1" applyBorder="1" applyAlignment="1">
      <alignment/>
    </xf>
    <xf numFmtId="43" fontId="1" fillId="0" borderId="19" xfId="57" applyFont="1" applyBorder="1" applyAlignment="1">
      <alignment/>
    </xf>
    <xf numFmtId="43" fontId="1" fillId="0" borderId="19" xfId="57" applyFont="1" applyBorder="1" applyAlignment="1">
      <alignment horizontal="right"/>
    </xf>
    <xf numFmtId="43" fontId="1" fillId="0" borderId="20" xfId="57" applyFont="1" applyBorder="1" applyAlignment="1">
      <alignment horizontal="right"/>
    </xf>
    <xf numFmtId="0" fontId="2" fillId="0" borderId="0" xfId="0" applyFont="1" applyAlignment="1">
      <alignment/>
    </xf>
    <xf numFmtId="43" fontId="2" fillId="0" borderId="0" xfId="57" applyFont="1" applyAlignment="1">
      <alignment/>
    </xf>
    <xf numFmtId="0" fontId="3" fillId="0" borderId="0" xfId="0" applyFont="1" applyAlignment="1">
      <alignment/>
    </xf>
    <xf numFmtId="0" fontId="6" fillId="0" borderId="19" xfId="0" applyFont="1" applyBorder="1" applyAlignment="1" quotePrefix="1">
      <alignment horizontal="center"/>
    </xf>
    <xf numFmtId="43" fontId="6" fillId="0" borderId="0" xfId="57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43" fontId="6" fillId="0" borderId="21" xfId="57" applyFont="1" applyBorder="1" applyAlignment="1">
      <alignment/>
    </xf>
    <xf numFmtId="43" fontId="6" fillId="0" borderId="22" xfId="57" applyFont="1" applyBorder="1" applyAlignment="1">
      <alignment/>
    </xf>
    <xf numFmtId="0" fontId="6" fillId="0" borderId="23" xfId="0" applyFont="1" applyBorder="1" applyAlignment="1">
      <alignment/>
    </xf>
    <xf numFmtId="43" fontId="6" fillId="0" borderId="23" xfId="57" applyFont="1" applyBorder="1" applyAlignment="1">
      <alignment/>
    </xf>
    <xf numFmtId="43" fontId="6" fillId="0" borderId="24" xfId="57" applyFont="1" applyBorder="1" applyAlignment="1">
      <alignment/>
    </xf>
    <xf numFmtId="43" fontId="6" fillId="0" borderId="25" xfId="57" applyFont="1" applyBorder="1" applyAlignment="1">
      <alignment/>
    </xf>
    <xf numFmtId="43" fontId="6" fillId="0" borderId="20" xfId="57" applyFont="1" applyBorder="1" applyAlignment="1">
      <alignment/>
    </xf>
    <xf numFmtId="43" fontId="2" fillId="0" borderId="0" xfId="57" applyFont="1" applyBorder="1" applyAlignment="1">
      <alignment/>
    </xf>
    <xf numFmtId="0" fontId="6" fillId="0" borderId="0" xfId="0" applyFont="1" applyBorder="1" applyAlignment="1">
      <alignment horizontal="left"/>
    </xf>
    <xf numFmtId="0" fontId="20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43" fontId="1" fillId="0" borderId="28" xfId="57" applyFont="1" applyBorder="1" applyAlignment="1">
      <alignment horizontal="center"/>
    </xf>
    <xf numFmtId="43" fontId="1" fillId="0" borderId="28" xfId="57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3" fontId="1" fillId="0" borderId="31" xfId="57" applyFont="1" applyBorder="1" applyAlignment="1">
      <alignment/>
    </xf>
    <xf numFmtId="15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57" applyFont="1" applyBorder="1" applyAlignment="1">
      <alignment/>
    </xf>
    <xf numFmtId="15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3" fontId="1" fillId="0" borderId="30" xfId="57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3" fontId="1" fillId="0" borderId="30" xfId="57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2" xfId="0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6" fillId="0" borderId="24" xfId="0" applyFont="1" applyBorder="1" applyAlignment="1">
      <alignment/>
    </xf>
    <xf numFmtId="43" fontId="6" fillId="0" borderId="0" xfId="57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2" fillId="0" borderId="21" xfId="57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3" fontId="2" fillId="0" borderId="25" xfId="57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3" fontId="2" fillId="0" borderId="19" xfId="57" applyFont="1" applyBorder="1" applyAlignment="1">
      <alignment horizontal="center"/>
    </xf>
    <xf numFmtId="0" fontId="25" fillId="0" borderId="19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43" fontId="2" fillId="0" borderId="19" xfId="57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43" fontId="2" fillId="0" borderId="21" xfId="57" applyFont="1" applyBorder="1" applyAlignment="1" quotePrefix="1">
      <alignment horizontal="center"/>
    </xf>
    <xf numFmtId="43" fontId="2" fillId="0" borderId="21" xfId="57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center"/>
    </xf>
    <xf numFmtId="43" fontId="2" fillId="0" borderId="23" xfId="57" applyFont="1" applyBorder="1" applyAlignment="1" quotePrefix="1">
      <alignment horizontal="center"/>
    </xf>
    <xf numFmtId="43" fontId="2" fillId="0" borderId="23" xfId="57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43" fontId="2" fillId="0" borderId="25" xfId="57" applyFont="1" applyBorder="1" applyAlignment="1" quotePrefix="1">
      <alignment horizontal="center"/>
    </xf>
    <xf numFmtId="43" fontId="2" fillId="0" borderId="25" xfId="57" applyFont="1" applyBorder="1" applyAlignment="1">
      <alignment/>
    </xf>
    <xf numFmtId="0" fontId="2" fillId="0" borderId="19" xfId="0" applyFont="1" applyBorder="1" applyAlignment="1">
      <alignment/>
    </xf>
    <xf numFmtId="43" fontId="2" fillId="0" borderId="19" xfId="57" applyFont="1" applyBorder="1" applyAlignment="1" quotePrefix="1">
      <alignment horizontal="center"/>
    </xf>
    <xf numFmtId="0" fontId="25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57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  <xf numFmtId="0" fontId="6" fillId="0" borderId="25" xfId="0" applyFont="1" applyBorder="1" applyAlignment="1">
      <alignment horizontal="left"/>
    </xf>
    <xf numFmtId="0" fontId="19" fillId="0" borderId="19" xfId="0" applyFont="1" applyBorder="1" applyAlignment="1" quotePrefix="1">
      <alignment horizontal="center"/>
    </xf>
    <xf numFmtId="0" fontId="19" fillId="0" borderId="19" xfId="0" applyFont="1" applyBorder="1" applyAlignment="1" quotePrefix="1">
      <alignment horizontal="left"/>
    </xf>
    <xf numFmtId="43" fontId="19" fillId="0" borderId="19" xfId="57" applyFont="1" applyBorder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3" fontId="19" fillId="0" borderId="0" xfId="57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43" fontId="26" fillId="0" borderId="23" xfId="57" applyFont="1" applyBorder="1" applyAlignment="1">
      <alignment/>
    </xf>
    <xf numFmtId="43" fontId="1" fillId="0" borderId="36" xfId="57" applyFont="1" applyBorder="1" applyAlignment="1">
      <alignment/>
    </xf>
    <xf numFmtId="43" fontId="19" fillId="0" borderId="0" xfId="57" applyFont="1" applyAlignment="1">
      <alignment/>
    </xf>
    <xf numFmtId="43" fontId="2" fillId="0" borderId="20" xfId="57" applyFont="1" applyBorder="1" applyAlignment="1">
      <alignment/>
    </xf>
    <xf numFmtId="15" fontId="1" fillId="0" borderId="37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30" xfId="0" applyFont="1" applyBorder="1" applyAlignment="1" quotePrefix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3" fontId="26" fillId="0" borderId="0" xfId="57" applyFont="1" applyAlignment="1">
      <alignment/>
    </xf>
    <xf numFmtId="0" fontId="26" fillId="0" borderId="19" xfId="0" applyFont="1" applyBorder="1" applyAlignment="1">
      <alignment horizontal="center" vertical="center"/>
    </xf>
    <xf numFmtId="43" fontId="26" fillId="0" borderId="19" xfId="57" applyFont="1" applyBorder="1" applyAlignment="1">
      <alignment horizontal="center" vertical="center"/>
    </xf>
    <xf numFmtId="0" fontId="26" fillId="0" borderId="24" xfId="0" applyFont="1" applyBorder="1" applyAlignment="1">
      <alignment horizontal="left"/>
    </xf>
    <xf numFmtId="0" fontId="26" fillId="0" borderId="23" xfId="0" applyFont="1" applyBorder="1" applyAlignment="1" quotePrefix="1">
      <alignment horizontal="center"/>
    </xf>
    <xf numFmtId="43" fontId="26" fillId="0" borderId="24" xfId="57" applyFont="1" applyBorder="1" applyAlignment="1">
      <alignment shrinkToFit="1"/>
    </xf>
    <xf numFmtId="43" fontId="26" fillId="0" borderId="0" xfId="57" applyFont="1" applyBorder="1" applyAlignment="1">
      <alignment/>
    </xf>
    <xf numFmtId="43" fontId="26" fillId="0" borderId="0" xfId="0" applyNumberFormat="1" applyFont="1" applyAlignment="1">
      <alignment/>
    </xf>
    <xf numFmtId="0" fontId="26" fillId="0" borderId="24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8" fillId="0" borderId="0" xfId="0" applyFont="1" applyAlignment="1">
      <alignment/>
    </xf>
    <xf numFmtId="43" fontId="26" fillId="0" borderId="20" xfId="57" applyFont="1" applyBorder="1" applyAlignment="1">
      <alignment/>
    </xf>
    <xf numFmtId="0" fontId="26" fillId="0" borderId="0" xfId="0" applyFont="1" applyAlignment="1">
      <alignment horizontal="left"/>
    </xf>
    <xf numFmtId="43" fontId="26" fillId="0" borderId="19" xfId="57" applyFont="1" applyBorder="1" applyAlignment="1">
      <alignment horizontal="center"/>
    </xf>
    <xf numFmtId="0" fontId="2" fillId="0" borderId="20" xfId="0" applyFont="1" applyBorder="1" applyAlignment="1">
      <alignment/>
    </xf>
    <xf numFmtId="43" fontId="2" fillId="0" borderId="38" xfId="57" applyFont="1" applyBorder="1" applyAlignment="1">
      <alignment/>
    </xf>
    <xf numFmtId="15" fontId="1" fillId="0" borderId="24" xfId="0" applyNumberFormat="1" applyFont="1" applyBorder="1" applyAlignment="1" quotePrefix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3" fontId="29" fillId="0" borderId="0" xfId="57" applyFont="1" applyAlignment="1">
      <alignment/>
    </xf>
    <xf numFmtId="0" fontId="29" fillId="0" borderId="0" xfId="0" applyFont="1" applyAlignment="1">
      <alignment horizontal="right"/>
    </xf>
    <xf numFmtId="0" fontId="29" fillId="0" borderId="39" xfId="0" applyFont="1" applyBorder="1" applyAlignment="1">
      <alignment horizontal="center"/>
    </xf>
    <xf numFmtId="49" fontId="26" fillId="0" borderId="40" xfId="0" applyNumberFormat="1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49" fontId="26" fillId="0" borderId="43" xfId="0" applyNumberFormat="1" applyFont="1" applyBorder="1" applyAlignment="1">
      <alignment horizontal="center"/>
    </xf>
    <xf numFmtId="43" fontId="26" fillId="0" borderId="24" xfId="57" applyFont="1" applyBorder="1" applyAlignment="1">
      <alignment horizontal="center"/>
    </xf>
    <xf numFmtId="0" fontId="29" fillId="0" borderId="39" xfId="0" applyFont="1" applyBorder="1" applyAlignment="1">
      <alignment/>
    </xf>
    <xf numFmtId="43" fontId="26" fillId="0" borderId="40" xfId="57" applyFont="1" applyBorder="1" applyAlignment="1">
      <alignment horizontal="center"/>
    </xf>
    <xf numFmtId="0" fontId="30" fillId="0" borderId="24" xfId="0" applyFont="1" applyBorder="1" applyAlignment="1">
      <alignment/>
    </xf>
    <xf numFmtId="43" fontId="26" fillId="0" borderId="23" xfId="57" applyFont="1" applyBorder="1" applyAlignment="1">
      <alignment horizontal="center"/>
    </xf>
    <xf numFmtId="0" fontId="29" fillId="0" borderId="24" xfId="0" applyFont="1" applyBorder="1" applyAlignment="1">
      <alignment/>
    </xf>
    <xf numFmtId="43" fontId="29" fillId="0" borderId="0" xfId="0" applyNumberFormat="1" applyFont="1" applyAlignment="1">
      <alignment/>
    </xf>
    <xf numFmtId="43" fontId="26" fillId="0" borderId="32" xfId="57" applyFont="1" applyBorder="1" applyAlignment="1">
      <alignment horizontal="center"/>
    </xf>
    <xf numFmtId="43" fontId="26" fillId="0" borderId="25" xfId="57" applyFont="1" applyBorder="1" applyAlignment="1">
      <alignment horizontal="center"/>
    </xf>
    <xf numFmtId="43" fontId="26" fillId="0" borderId="44" xfId="57" applyFont="1" applyBorder="1" applyAlignment="1">
      <alignment horizontal="center"/>
    </xf>
    <xf numFmtId="43" fontId="26" fillId="0" borderId="20" xfId="57" applyFont="1" applyBorder="1" applyAlignment="1">
      <alignment horizontal="center"/>
    </xf>
    <xf numFmtId="0" fontId="29" fillId="0" borderId="0" xfId="0" applyFont="1" applyBorder="1" applyAlignment="1">
      <alignment/>
    </xf>
    <xf numFmtId="43" fontId="26" fillId="0" borderId="39" xfId="57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8" xfId="0" applyFont="1" applyBorder="1" applyAlignment="1">
      <alignment/>
    </xf>
    <xf numFmtId="49" fontId="26" fillId="0" borderId="24" xfId="0" applyNumberFormat="1" applyFont="1" applyBorder="1" applyAlignment="1">
      <alignment horizontal="center"/>
    </xf>
    <xf numFmtId="43" fontId="26" fillId="0" borderId="45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3" fontId="26" fillId="0" borderId="19" xfId="0" applyNumberFormat="1" applyFont="1" applyBorder="1" applyAlignment="1">
      <alignment horizontal="center"/>
    </xf>
    <xf numFmtId="43" fontId="26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43" fontId="26" fillId="0" borderId="28" xfId="57" applyFont="1" applyBorder="1" applyAlignment="1">
      <alignment horizontal="center"/>
    </xf>
    <xf numFmtId="43" fontId="29" fillId="0" borderId="0" xfId="0" applyNumberFormat="1" applyFont="1" applyBorder="1" applyAlignment="1">
      <alignment/>
    </xf>
    <xf numFmtId="43" fontId="26" fillId="0" borderId="46" xfId="57" applyFont="1" applyBorder="1" applyAlignment="1">
      <alignment horizontal="center"/>
    </xf>
    <xf numFmtId="43" fontId="26" fillId="0" borderId="35" xfId="57" applyFont="1" applyBorder="1" applyAlignment="1">
      <alignment horizontal="center"/>
    </xf>
    <xf numFmtId="43" fontId="26" fillId="0" borderId="38" xfId="57" applyFont="1" applyBorder="1" applyAlignment="1">
      <alignment horizontal="center"/>
    </xf>
    <xf numFmtId="43" fontId="26" fillId="0" borderId="0" xfId="57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3" fontId="29" fillId="0" borderId="0" xfId="57" applyFont="1" applyAlignment="1">
      <alignment horizontal="right"/>
    </xf>
    <xf numFmtId="43" fontId="2" fillId="0" borderId="33" xfId="57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1" fillId="0" borderId="47" xfId="0" applyFont="1" applyBorder="1" applyAlignment="1" quotePrefix="1">
      <alignment horizontal="center"/>
    </xf>
    <xf numFmtId="43" fontId="1" fillId="0" borderId="48" xfId="57" applyFont="1" applyBorder="1" applyAlignment="1">
      <alignment/>
    </xf>
    <xf numFmtId="15" fontId="1" fillId="0" borderId="49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3" fontId="32" fillId="0" borderId="0" xfId="57" applyFont="1" applyAlignment="1">
      <alignment horizontal="center"/>
    </xf>
    <xf numFmtId="43" fontId="26" fillId="0" borderId="23" xfId="57" applyFont="1" applyBorder="1" applyAlignment="1">
      <alignment horizontal="right"/>
    </xf>
    <xf numFmtId="43" fontId="32" fillId="0" borderId="0" xfId="57" applyFont="1" applyAlignment="1">
      <alignment/>
    </xf>
    <xf numFmtId="0" fontId="26" fillId="0" borderId="25" xfId="0" applyFont="1" applyBorder="1" applyAlignment="1">
      <alignment/>
    </xf>
    <xf numFmtId="0" fontId="26" fillId="0" borderId="46" xfId="0" applyFont="1" applyBorder="1" applyAlignment="1">
      <alignment/>
    </xf>
    <xf numFmtId="59" fontId="1" fillId="0" borderId="48" xfId="0" applyNumberFormat="1" applyFont="1" applyBorder="1" applyAlignment="1" quotePrefix="1">
      <alignment horizontal="center"/>
    </xf>
    <xf numFmtId="43" fontId="29" fillId="0" borderId="50" xfId="57" applyFont="1" applyBorder="1" applyAlignment="1">
      <alignment/>
    </xf>
    <xf numFmtId="43" fontId="33" fillId="0" borderId="24" xfId="57" applyFont="1" applyBorder="1" applyAlignment="1">
      <alignment shrinkToFit="1"/>
    </xf>
    <xf numFmtId="43" fontId="34" fillId="0" borderId="24" xfId="57" applyFont="1" applyBorder="1" applyAlignment="1">
      <alignment shrinkToFit="1"/>
    </xf>
    <xf numFmtId="43" fontId="1" fillId="0" borderId="0" xfId="0" applyNumberFormat="1" applyFont="1" applyBorder="1" applyAlignment="1">
      <alignment/>
    </xf>
    <xf numFmtId="43" fontId="32" fillId="0" borderId="0" xfId="57" applyFont="1" applyBorder="1" applyAlignment="1">
      <alignment/>
    </xf>
    <xf numFmtId="204" fontId="32" fillId="0" borderId="0" xfId="57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59" fontId="1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51" xfId="57" applyFont="1" applyBorder="1" applyAlignment="1">
      <alignment/>
    </xf>
    <xf numFmtId="0" fontId="24" fillId="0" borderId="0" xfId="0" applyFont="1" applyAlignment="1">
      <alignment horizontal="left"/>
    </xf>
    <xf numFmtId="0" fontId="6" fillId="0" borderId="45" xfId="0" applyFont="1" applyBorder="1" applyAlignment="1">
      <alignment horizontal="center"/>
    </xf>
    <xf numFmtId="43" fontId="6" fillId="0" borderId="27" xfId="57" applyFont="1" applyBorder="1" applyAlignment="1">
      <alignment/>
    </xf>
    <xf numFmtId="0" fontId="6" fillId="0" borderId="27" xfId="0" applyFont="1" applyBorder="1" applyAlignment="1">
      <alignment/>
    </xf>
    <xf numFmtId="43" fontId="6" fillId="0" borderId="28" xfId="57" applyFont="1" applyBorder="1" applyAlignment="1">
      <alignment/>
    </xf>
    <xf numFmtId="43" fontId="6" fillId="0" borderId="23" xfId="57" applyFont="1" applyBorder="1" applyAlignment="1">
      <alignment horizontal="right"/>
    </xf>
    <xf numFmtId="43" fontId="6" fillId="0" borderId="24" xfId="57" applyFont="1" applyBorder="1" applyAlignment="1">
      <alignment horizontal="right"/>
    </xf>
    <xf numFmtId="0" fontId="6" fillId="0" borderId="28" xfId="0" applyFont="1" applyBorder="1" applyAlignment="1">
      <alignment/>
    </xf>
    <xf numFmtId="43" fontId="6" fillId="0" borderId="52" xfId="57" applyFont="1" applyBorder="1" applyAlignment="1">
      <alignment/>
    </xf>
    <xf numFmtId="0" fontId="6" fillId="0" borderId="20" xfId="0" applyFont="1" applyBorder="1" applyAlignment="1">
      <alignment/>
    </xf>
    <xf numFmtId="0" fontId="19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35" fillId="0" borderId="23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2" xfId="0" applyFont="1" applyBorder="1" applyAlignment="1">
      <alignment horizontal="center"/>
    </xf>
    <xf numFmtId="43" fontId="2" fillId="0" borderId="43" xfId="57" applyFont="1" applyBorder="1" applyAlignment="1">
      <alignment/>
    </xf>
    <xf numFmtId="0" fontId="2" fillId="0" borderId="43" xfId="0" applyFont="1" applyBorder="1" applyAlignment="1">
      <alignment/>
    </xf>
    <xf numFmtId="0" fontId="6" fillId="0" borderId="33" xfId="0" applyFont="1" applyBorder="1" applyAlignment="1">
      <alignment horizontal="left"/>
    </xf>
    <xf numFmtId="43" fontId="31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19" fillId="0" borderId="19" xfId="57" applyFont="1" applyFill="1" applyBorder="1" applyAlignment="1">
      <alignment/>
    </xf>
    <xf numFmtId="43" fontId="19" fillId="0" borderId="0" xfId="57" applyFont="1" applyFill="1" applyBorder="1" applyAlignment="1">
      <alignment/>
    </xf>
    <xf numFmtId="43" fontId="6" fillId="0" borderId="0" xfId="57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3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5" fontId="21" fillId="0" borderId="29" xfId="0" applyNumberFormat="1" applyFont="1" applyBorder="1" applyAlignment="1">
      <alignment horizontal="left"/>
    </xf>
    <xf numFmtId="15" fontId="1" fillId="0" borderId="30" xfId="0" applyNumberFormat="1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29" fillId="0" borderId="45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53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5" xfId="0" applyFont="1" applyBorder="1" applyAlignment="1" quotePrefix="1">
      <alignment horizontal="center"/>
    </xf>
    <xf numFmtId="0" fontId="6" fillId="0" borderId="35" xfId="0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6" fillId="0" borderId="4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3" fontId="26" fillId="42" borderId="0" xfId="0" applyNumberFormat="1" applyFont="1" applyFill="1" applyAlignment="1">
      <alignment/>
    </xf>
  </cellXfs>
  <cellStyles count="6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Followed Hyperlink" xfId="39"/>
    <cellStyle name="Good" xfId="40"/>
    <cellStyle name="Heading 1" xfId="41"/>
    <cellStyle name="Heading 2" xfId="42"/>
    <cellStyle name="Heading 3" xfId="43"/>
    <cellStyle name="Heading 4" xfId="44"/>
    <cellStyle name="Hyperlink" xfId="45"/>
    <cellStyle name="Input" xfId="46"/>
    <cellStyle name="Linked Cell" xfId="47"/>
    <cellStyle name="Neutral" xfId="48"/>
    <cellStyle name="Note" xfId="49"/>
    <cellStyle name="Output" xfId="50"/>
    <cellStyle name="Sheet Title" xfId="51"/>
    <cellStyle name="Total" xfId="52"/>
    <cellStyle name="Warning Text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Currency" xfId="59"/>
    <cellStyle name="Currency [0]" xfId="60"/>
    <cellStyle name="ชื่อเรื่อง" xfId="61"/>
    <cellStyle name="เซลล์ตรวจสอบ" xfId="62"/>
    <cellStyle name="เซลล์ที่มีการเชื่อมโยง" xfId="63"/>
    <cellStyle name="ดี" xfId="64"/>
    <cellStyle name="ป้อนค่า" xfId="65"/>
    <cellStyle name="ปานกลาง" xfId="66"/>
    <cellStyle name="Percent" xfId="67"/>
    <cellStyle name="ผลรวม" xfId="68"/>
    <cellStyle name="แย่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95250</xdr:rowOff>
    </xdr:from>
    <xdr:to>
      <xdr:col>6</xdr:col>
      <xdr:colOff>438150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80975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18</xdr:row>
      <xdr:rowOff>0</xdr:rowOff>
    </xdr:from>
    <xdr:to>
      <xdr:col>8</xdr:col>
      <xdr:colOff>485775</xdr:colOff>
      <xdr:row>19</xdr:row>
      <xdr:rowOff>152400</xdr:rowOff>
    </xdr:to>
    <xdr:pic>
      <xdr:nvPicPr>
        <xdr:cNvPr id="2" name="Picture 183" descr="ลายเซ็นต์นายกหนึ่ง"/>
        <xdr:cNvPicPr preferRelativeResize="1">
          <a:picLocks noChangeAspect="1"/>
        </xdr:cNvPicPr>
      </xdr:nvPicPr>
      <xdr:blipFill>
        <a:blip r:embed="rId2"/>
        <a:srcRect l="12121" t="31130" r="9091"/>
        <a:stretch>
          <a:fillRect/>
        </a:stretch>
      </xdr:blipFill>
      <xdr:spPr>
        <a:xfrm>
          <a:off x="3590925" y="4514850"/>
          <a:ext cx="1600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2"/>
  <sheetViews>
    <sheetView zoomScalePageLayoutView="0" workbookViewId="0" topLeftCell="A4">
      <selection activeCell="M22" sqref="M22"/>
    </sheetView>
  </sheetViews>
  <sheetFormatPr defaultColWidth="9.140625" defaultRowHeight="12.75"/>
  <cols>
    <col min="1" max="1" width="6.57421875" style="1" customWidth="1"/>
    <col min="2" max="16384" width="9.140625" style="1" customWidth="1"/>
  </cols>
  <sheetData>
    <row r="5" spans="2:11" ht="23.25">
      <c r="B5" s="226" t="s">
        <v>270</v>
      </c>
      <c r="C5" s="226"/>
      <c r="D5" s="226"/>
      <c r="E5" s="226"/>
      <c r="F5" s="226"/>
      <c r="G5" s="226"/>
      <c r="H5" s="226"/>
      <c r="I5" s="226"/>
      <c r="J5" s="226"/>
      <c r="K5" s="226"/>
    </row>
    <row r="6" spans="2:11" ht="23.25">
      <c r="B6" s="226" t="s">
        <v>0</v>
      </c>
      <c r="C6" s="226"/>
      <c r="D6" s="226"/>
      <c r="E6" s="226"/>
      <c r="F6" s="226"/>
      <c r="G6" s="226"/>
      <c r="H6" s="226"/>
      <c r="I6" s="226"/>
      <c r="J6" s="226"/>
      <c r="K6" s="226"/>
    </row>
    <row r="7" spans="2:11" ht="23.25">
      <c r="B7" s="226" t="s">
        <v>271</v>
      </c>
      <c r="C7" s="226"/>
      <c r="D7" s="226"/>
      <c r="E7" s="226"/>
      <c r="F7" s="226"/>
      <c r="G7" s="226"/>
      <c r="H7" s="226"/>
      <c r="I7" s="226"/>
      <c r="J7" s="226"/>
      <c r="K7" s="226"/>
    </row>
    <row r="9" ht="23.25">
      <c r="C9" s="1" t="s">
        <v>272</v>
      </c>
    </row>
    <row r="10" ht="23.25">
      <c r="B10" s="1" t="s">
        <v>273</v>
      </c>
    </row>
    <row r="11" ht="23.25">
      <c r="B11" s="1" t="s">
        <v>274</v>
      </c>
    </row>
    <row r="12" ht="23.25">
      <c r="B12" s="1" t="s">
        <v>275</v>
      </c>
    </row>
    <row r="14" ht="23.25">
      <c r="C14" s="1" t="s">
        <v>276</v>
      </c>
    </row>
    <row r="15" ht="23.25">
      <c r="B15" s="1" t="s">
        <v>1</v>
      </c>
    </row>
    <row r="17" ht="23.25">
      <c r="D17" s="1" t="s">
        <v>372</v>
      </c>
    </row>
    <row r="21" spans="6:9" ht="23.25">
      <c r="F21" s="226" t="s">
        <v>201</v>
      </c>
      <c r="G21" s="226"/>
      <c r="H21" s="226"/>
      <c r="I21" s="226"/>
    </row>
    <row r="22" spans="6:9" ht="23.25">
      <c r="F22" s="226" t="s">
        <v>110</v>
      </c>
      <c r="G22" s="226"/>
      <c r="H22" s="226"/>
      <c r="I22" s="226"/>
    </row>
  </sheetData>
  <sheetProtection/>
  <mergeCells count="5">
    <mergeCell ref="F21:I21"/>
    <mergeCell ref="F22:I22"/>
    <mergeCell ref="B5:K5"/>
    <mergeCell ref="B6:K6"/>
    <mergeCell ref="B7:K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zoomScalePageLayoutView="0" workbookViewId="0" topLeftCell="A1">
      <selection activeCell="C45" sqref="C45"/>
    </sheetView>
  </sheetViews>
  <sheetFormatPr defaultColWidth="9.140625" defaultRowHeight="12.75"/>
  <cols>
    <col min="1" max="1" width="37.00390625" style="111" customWidth="1"/>
    <col min="2" max="2" width="7.57421875" style="111" customWidth="1"/>
    <col min="3" max="3" width="20.421875" style="112" customWidth="1"/>
    <col min="4" max="4" width="22.8515625" style="112" customWidth="1"/>
    <col min="5" max="5" width="16.7109375" style="111" customWidth="1"/>
    <col min="6" max="6" width="13.421875" style="112" customWidth="1"/>
    <col min="7" max="7" width="11.8515625" style="111" customWidth="1"/>
    <col min="8" max="9" width="12.00390625" style="111" bestFit="1" customWidth="1"/>
    <col min="10" max="16384" width="9.140625" style="111" customWidth="1"/>
  </cols>
  <sheetData>
    <row r="1" spans="1:4" ht="18.75">
      <c r="A1" s="227" t="s">
        <v>87</v>
      </c>
      <c r="B1" s="227"/>
      <c r="C1" s="227"/>
      <c r="D1" s="227"/>
    </row>
    <row r="2" spans="1:4" ht="18.75">
      <c r="A2" s="227" t="s">
        <v>116</v>
      </c>
      <c r="B2" s="227"/>
      <c r="C2" s="227"/>
      <c r="D2" s="227"/>
    </row>
    <row r="3" spans="1:4" ht="18.75">
      <c r="A3" s="227" t="s">
        <v>363</v>
      </c>
      <c r="B3" s="227"/>
      <c r="C3" s="227"/>
      <c r="D3" s="227"/>
    </row>
    <row r="4" spans="1:8" ht="18.75">
      <c r="A4" s="113" t="s">
        <v>88</v>
      </c>
      <c r="B4" s="113" t="s">
        <v>89</v>
      </c>
      <c r="C4" s="114" t="s">
        <v>90</v>
      </c>
      <c r="D4" s="114" t="s">
        <v>91</v>
      </c>
      <c r="E4" s="184"/>
      <c r="F4" s="185"/>
      <c r="H4" s="110"/>
    </row>
    <row r="5" spans="1:9" ht="18.75">
      <c r="A5" s="115" t="s">
        <v>92</v>
      </c>
      <c r="B5" s="116" t="s">
        <v>107</v>
      </c>
      <c r="C5" s="103">
        <f>SUM(-500-50-5795-885+7230)</f>
        <v>0</v>
      </c>
      <c r="D5" s="103"/>
      <c r="E5" s="117"/>
      <c r="F5" s="195"/>
      <c r="G5" s="118"/>
      <c r="H5" s="119"/>
      <c r="I5" s="119"/>
    </row>
    <row r="6" spans="1:8" ht="18.75">
      <c r="A6" s="115" t="s">
        <v>197</v>
      </c>
      <c r="B6" s="116" t="s">
        <v>198</v>
      </c>
      <c r="C6" s="103">
        <f>SUM(0)</f>
        <v>0</v>
      </c>
      <c r="D6" s="103"/>
      <c r="E6" s="117"/>
      <c r="F6" s="196"/>
      <c r="G6" s="118"/>
      <c r="H6" s="119"/>
    </row>
    <row r="7" spans="1:9" ht="18.75">
      <c r="A7" s="120" t="s">
        <v>111</v>
      </c>
      <c r="B7" s="116" t="s">
        <v>117</v>
      </c>
      <c r="C7" s="103">
        <f>SUM(474685.08-512125.08+579370.98)</f>
        <v>541930.98</v>
      </c>
      <c r="D7" s="103"/>
      <c r="E7" s="192"/>
      <c r="F7" s="195"/>
      <c r="G7" s="118"/>
      <c r="I7" s="119"/>
    </row>
    <row r="8" spans="1:7" ht="18.75">
      <c r="A8" s="120" t="s">
        <v>93</v>
      </c>
      <c r="B8" s="116" t="s">
        <v>118</v>
      </c>
      <c r="C8" s="103">
        <f>SUM(8453532.16-480380.61)</f>
        <v>7973151.55</v>
      </c>
      <c r="D8" s="103"/>
      <c r="E8" s="192"/>
      <c r="F8" s="195"/>
      <c r="G8" s="118"/>
    </row>
    <row r="9" spans="1:7" ht="18.75">
      <c r="A9" s="120" t="s">
        <v>95</v>
      </c>
      <c r="B9" s="116" t="s">
        <v>119</v>
      </c>
      <c r="C9" s="103">
        <f>SUM(225184.74)</f>
        <v>225184.74</v>
      </c>
      <c r="D9" s="103"/>
      <c r="E9" s="192"/>
      <c r="F9" s="195"/>
      <c r="G9" s="118"/>
    </row>
    <row r="10" spans="1:8" ht="18.75">
      <c r="A10" s="120" t="s">
        <v>4</v>
      </c>
      <c r="B10" s="116" t="s">
        <v>5</v>
      </c>
      <c r="C10" s="103">
        <f>SUM(7772629.88+512125.08-839595.39+36357.45)</f>
        <v>7481517.0200000005</v>
      </c>
      <c r="D10" s="103"/>
      <c r="E10" s="193"/>
      <c r="F10" s="195"/>
      <c r="G10" s="118"/>
      <c r="H10" s="119"/>
    </row>
    <row r="11" spans="1:7" ht="18.75">
      <c r="A11" s="120" t="s">
        <v>94</v>
      </c>
      <c r="B11" s="116" t="s">
        <v>153</v>
      </c>
      <c r="C11" s="103">
        <f>SUM(1001690.9+4002.74)</f>
        <v>1005693.64</v>
      </c>
      <c r="D11" s="103"/>
      <c r="E11" s="192"/>
      <c r="F11" s="195"/>
      <c r="G11" s="118"/>
    </row>
    <row r="12" spans="1:7" ht="18.75">
      <c r="A12" s="120" t="s">
        <v>152</v>
      </c>
      <c r="B12" s="116" t="s">
        <v>154</v>
      </c>
      <c r="C12" s="103">
        <f>SUM(7661816.71+36420.37)</f>
        <v>7698237.08</v>
      </c>
      <c r="D12" s="103"/>
      <c r="E12" s="192"/>
      <c r="F12" s="195"/>
      <c r="G12" s="118"/>
    </row>
    <row r="13" spans="1:7" ht="18.75">
      <c r="A13" s="120" t="s">
        <v>293</v>
      </c>
      <c r="B13" s="116" t="s">
        <v>294</v>
      </c>
      <c r="C13" s="103">
        <v>0</v>
      </c>
      <c r="D13" s="103"/>
      <c r="E13" s="118"/>
      <c r="F13" s="118"/>
      <c r="G13" s="118"/>
    </row>
    <row r="14" spans="1:7" ht="18.75">
      <c r="A14" s="120" t="s">
        <v>96</v>
      </c>
      <c r="B14" s="116" t="s">
        <v>120</v>
      </c>
      <c r="C14" s="103">
        <f>SUM(104480+5520)</f>
        <v>110000</v>
      </c>
      <c r="D14" s="103"/>
      <c r="F14" s="118"/>
      <c r="G14" s="118"/>
    </row>
    <row r="15" spans="1:8" ht="18.75">
      <c r="A15" s="120" t="s">
        <v>96</v>
      </c>
      <c r="B15" s="116" t="s">
        <v>184</v>
      </c>
      <c r="C15" s="103">
        <f>SUM(23500+4500)</f>
        <v>28000</v>
      </c>
      <c r="D15" s="103"/>
      <c r="E15" s="119"/>
      <c r="F15" s="118"/>
      <c r="G15" s="118"/>
      <c r="H15" s="119"/>
    </row>
    <row r="16" spans="1:7" ht="18.75">
      <c r="A16" s="120" t="s">
        <v>97</v>
      </c>
      <c r="B16" s="121">
        <v>5100</v>
      </c>
      <c r="C16" s="103">
        <f>SUM(571778.06+282260)</f>
        <v>854038.06</v>
      </c>
      <c r="D16" s="103"/>
      <c r="F16" s="118"/>
      <c r="G16" s="118"/>
    </row>
    <row r="17" spans="1:7" ht="18.75">
      <c r="A17" s="120" t="s">
        <v>98</v>
      </c>
      <c r="B17" s="121">
        <v>5120</v>
      </c>
      <c r="C17" s="103">
        <f>SUM(30000+15000)</f>
        <v>45000</v>
      </c>
      <c r="D17" s="103"/>
      <c r="F17" s="118"/>
      <c r="G17" s="118"/>
    </row>
    <row r="18" spans="1:7" ht="18.75">
      <c r="A18" s="120" t="s">
        <v>177</v>
      </c>
      <c r="B18" s="121">
        <v>5130</v>
      </c>
      <c r="C18" s="103">
        <f>SUM(66000+33000)</f>
        <v>99000</v>
      </c>
      <c r="D18" s="103"/>
      <c r="F18" s="118"/>
      <c r="G18" s="118"/>
    </row>
    <row r="19" spans="1:7" ht="18.75">
      <c r="A19" s="120" t="s">
        <v>99</v>
      </c>
      <c r="B19" s="121">
        <v>5200</v>
      </c>
      <c r="C19" s="103">
        <f>SUM(355988.55+170833)</f>
        <v>526821.55</v>
      </c>
      <c r="D19" s="103"/>
      <c r="F19" s="118"/>
      <c r="G19" s="118"/>
    </row>
    <row r="20" spans="1:7" ht="18.75">
      <c r="A20" s="120" t="s">
        <v>100</v>
      </c>
      <c r="B20" s="121">
        <v>5250</v>
      </c>
      <c r="C20" s="103">
        <f>SUM(327798+106215)</f>
        <v>434013</v>
      </c>
      <c r="D20" s="103"/>
      <c r="F20" s="118"/>
      <c r="G20" s="118"/>
    </row>
    <row r="21" spans="1:7" ht="18.75">
      <c r="A21" s="120" t="s">
        <v>100</v>
      </c>
      <c r="B21" s="121">
        <v>6250</v>
      </c>
      <c r="C21" s="103">
        <f>SUM(59834+77470)</f>
        <v>137304</v>
      </c>
      <c r="D21" s="103"/>
      <c r="F21" s="118"/>
      <c r="G21" s="118"/>
    </row>
    <row r="22" spans="1:7" ht="18.75">
      <c r="A22" s="120" t="s">
        <v>101</v>
      </c>
      <c r="B22" s="121">
        <v>5270</v>
      </c>
      <c r="C22" s="103">
        <f>SUM(4700+3000)</f>
        <v>7700</v>
      </c>
      <c r="D22" s="103"/>
      <c r="F22" s="118"/>
      <c r="G22" s="118"/>
    </row>
    <row r="23" spans="1:7" ht="18.75">
      <c r="A23" s="120" t="s">
        <v>101</v>
      </c>
      <c r="B23" s="121">
        <v>6270</v>
      </c>
      <c r="C23" s="103">
        <v>0</v>
      </c>
      <c r="D23" s="103"/>
      <c r="E23" s="263"/>
      <c r="F23" s="118"/>
      <c r="G23" s="118"/>
    </row>
    <row r="24" spans="1:7" ht="18.75">
      <c r="A24" s="120" t="s">
        <v>103</v>
      </c>
      <c r="B24" s="121">
        <v>5300</v>
      </c>
      <c r="C24" s="103">
        <f>SUM(33285.66+19047.33)</f>
        <v>52332.990000000005</v>
      </c>
      <c r="D24" s="103"/>
      <c r="F24" s="118"/>
      <c r="G24" s="118"/>
    </row>
    <row r="25" spans="1:7" ht="18.75">
      <c r="A25" s="120" t="s">
        <v>104</v>
      </c>
      <c r="B25" s="121">
        <v>5400</v>
      </c>
      <c r="C25" s="103">
        <v>30000</v>
      </c>
      <c r="D25" s="103"/>
      <c r="F25" s="118"/>
      <c r="G25" s="118"/>
    </row>
    <row r="26" spans="1:7" ht="18.75">
      <c r="A26" s="120" t="s">
        <v>104</v>
      </c>
      <c r="B26" s="121">
        <v>6400</v>
      </c>
      <c r="C26" s="103">
        <f>SUM(893100)</f>
        <v>893100</v>
      </c>
      <c r="D26" s="103"/>
      <c r="F26" s="118"/>
      <c r="G26" s="118"/>
    </row>
    <row r="27" spans="1:7" ht="18.75">
      <c r="A27" s="120" t="s">
        <v>102</v>
      </c>
      <c r="B27" s="121">
        <v>5450</v>
      </c>
      <c r="C27" s="103">
        <v>0</v>
      </c>
      <c r="D27" s="103"/>
      <c r="F27" s="118"/>
      <c r="G27" s="118"/>
    </row>
    <row r="28" spans="1:7" ht="18.75">
      <c r="A28" s="120" t="s">
        <v>102</v>
      </c>
      <c r="B28" s="121">
        <v>6450</v>
      </c>
      <c r="C28" s="103">
        <v>0</v>
      </c>
      <c r="D28" s="103"/>
      <c r="F28" s="118"/>
      <c r="G28" s="118"/>
    </row>
    <row r="29" spans="1:7" ht="18.75">
      <c r="A29" s="120" t="s">
        <v>105</v>
      </c>
      <c r="B29" s="121">
        <v>5500</v>
      </c>
      <c r="C29" s="103">
        <f>SUM(0)</f>
        <v>0</v>
      </c>
      <c r="D29" s="103"/>
      <c r="F29" s="118"/>
      <c r="G29" s="118"/>
    </row>
    <row r="30" spans="1:7" ht="18.75">
      <c r="A30" s="120" t="s">
        <v>159</v>
      </c>
      <c r="B30" s="121">
        <v>5550</v>
      </c>
      <c r="C30" s="103">
        <v>0</v>
      </c>
      <c r="D30" s="103"/>
      <c r="F30" s="118"/>
      <c r="G30" s="118"/>
    </row>
    <row r="31" spans="1:7" ht="18.75">
      <c r="A31" s="120" t="s">
        <v>96</v>
      </c>
      <c r="B31" s="121">
        <v>7000</v>
      </c>
      <c r="C31" s="103">
        <f>SUM(937700+484400+18000+18000)</f>
        <v>1458100</v>
      </c>
      <c r="D31" s="103"/>
      <c r="F31" s="118"/>
      <c r="G31" s="118"/>
    </row>
    <row r="32" spans="1:7" ht="18.75">
      <c r="A32" s="120" t="s">
        <v>105</v>
      </c>
      <c r="B32" s="121">
        <v>7500</v>
      </c>
      <c r="C32" s="103">
        <v>0</v>
      </c>
      <c r="D32" s="103"/>
      <c r="F32" s="118"/>
      <c r="G32" s="118"/>
    </row>
    <row r="33" spans="1:7" ht="18.75">
      <c r="A33" s="120" t="s">
        <v>287</v>
      </c>
      <c r="B33" s="121" t="s">
        <v>288</v>
      </c>
      <c r="C33" s="103">
        <f>SUM(925252)</f>
        <v>925252</v>
      </c>
      <c r="D33" s="103"/>
      <c r="F33" s="118"/>
      <c r="G33" s="118"/>
    </row>
    <row r="34" spans="1:7" ht="18.75">
      <c r="A34" s="120" t="s">
        <v>158</v>
      </c>
      <c r="B34" s="116" t="s">
        <v>47</v>
      </c>
      <c r="C34" s="103">
        <f>SUM(39500+71400)</f>
        <v>110900</v>
      </c>
      <c r="D34" s="103"/>
      <c r="F34" s="118"/>
      <c r="G34" s="118"/>
    </row>
    <row r="35" spans="1:7" ht="18.75">
      <c r="A35" s="120" t="s">
        <v>332</v>
      </c>
      <c r="B35" s="116">
        <v>600</v>
      </c>
      <c r="C35" s="103"/>
      <c r="D35" s="103">
        <f>SUM(1070840-17700)</f>
        <v>1053140</v>
      </c>
      <c r="F35" s="118"/>
      <c r="G35" s="118"/>
    </row>
    <row r="36" spans="1:7" ht="18.75">
      <c r="A36" s="120" t="s">
        <v>313</v>
      </c>
      <c r="B36" s="116">
        <v>601</v>
      </c>
      <c r="C36" s="103"/>
      <c r="D36" s="103">
        <v>0</v>
      </c>
      <c r="F36" s="118"/>
      <c r="G36" s="118"/>
    </row>
    <row r="37" spans="1:7" ht="18.75">
      <c r="A37" s="120" t="s">
        <v>333</v>
      </c>
      <c r="B37" s="116">
        <v>604</v>
      </c>
      <c r="C37" s="103"/>
      <c r="D37" s="103">
        <f>SUM(38784.03)</f>
        <v>38784.03</v>
      </c>
      <c r="F37" s="118"/>
      <c r="G37" s="118"/>
    </row>
    <row r="38" spans="1:7" ht="18.75">
      <c r="A38" s="120" t="s">
        <v>106</v>
      </c>
      <c r="B38" s="116" t="s">
        <v>121</v>
      </c>
      <c r="C38" s="103"/>
      <c r="D38" s="103">
        <f>SUM(11176027)</f>
        <v>11176027</v>
      </c>
      <c r="E38" s="119"/>
      <c r="F38" s="118"/>
      <c r="G38" s="118"/>
    </row>
    <row r="39" spans="1:7" ht="18.75">
      <c r="A39" s="120" t="s">
        <v>308</v>
      </c>
      <c r="B39" s="116">
        <v>704</v>
      </c>
      <c r="C39" s="103">
        <f>SUM(36000-18000-18000)</f>
        <v>0</v>
      </c>
      <c r="D39" s="103"/>
      <c r="E39" s="119"/>
      <c r="F39" s="118"/>
      <c r="G39" s="118"/>
    </row>
    <row r="40" spans="1:7" ht="18.75">
      <c r="A40" s="120" t="s">
        <v>17</v>
      </c>
      <c r="B40" s="121" t="s">
        <v>108</v>
      </c>
      <c r="C40" s="103"/>
      <c r="D40" s="103">
        <f>SUM(7661816.71)</f>
        <v>7661816.71</v>
      </c>
      <c r="E40" s="119"/>
      <c r="F40" s="118"/>
      <c r="G40" s="118"/>
    </row>
    <row r="41" spans="1:7" ht="18.75">
      <c r="A41" s="120" t="s">
        <v>277</v>
      </c>
      <c r="B41" s="121">
        <v>821</v>
      </c>
      <c r="C41" s="103"/>
      <c r="D41" s="103">
        <v>9269315.85</v>
      </c>
      <c r="E41" s="119"/>
      <c r="F41" s="118"/>
      <c r="G41" s="118"/>
    </row>
    <row r="42" spans="1:7" ht="18.75">
      <c r="A42" s="120" t="s">
        <v>278</v>
      </c>
      <c r="B42" s="121">
        <v>900</v>
      </c>
      <c r="C42" s="103"/>
      <c r="D42" s="103">
        <v>1438193.02</v>
      </c>
      <c r="E42" s="122"/>
      <c r="F42" s="118"/>
      <c r="G42" s="118"/>
    </row>
    <row r="43" spans="1:6" ht="19.5" thickBot="1">
      <c r="A43" s="188"/>
      <c r="B43" s="189"/>
      <c r="C43" s="123">
        <f>SUM(C5:C42)</f>
        <v>30637276.609999996</v>
      </c>
      <c r="D43" s="123">
        <f>SUM(D35:D42)</f>
        <v>30637276.609999996</v>
      </c>
      <c r="E43" s="119"/>
      <c r="F43" s="187">
        <f>SUM(C43-D43)</f>
        <v>0</v>
      </c>
    </row>
    <row r="44" ht="19.5" thickTop="1">
      <c r="E44" s="119"/>
    </row>
    <row r="47" ht="18.75">
      <c r="C47" s="187"/>
    </row>
    <row r="48" ht="18.75">
      <c r="C48" s="187"/>
    </row>
    <row r="49" ht="18.75">
      <c r="C49" s="187"/>
    </row>
    <row r="69" spans="1:4" ht="18.75">
      <c r="A69" s="227"/>
      <c r="B69" s="227"/>
      <c r="C69" s="227"/>
      <c r="D69" s="227"/>
    </row>
  </sheetData>
  <sheetProtection/>
  <mergeCells count="4">
    <mergeCell ref="A1:D1"/>
    <mergeCell ref="A2:D2"/>
    <mergeCell ref="A3:D3"/>
    <mergeCell ref="A69:D69"/>
  </mergeCells>
  <printOptions/>
  <pageMargins left="0.5511811023622047" right="0.5511811023622047" top="0.1968503937007874" bottom="0.07874015748031496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2">
      <selection activeCell="A44" sqref="A44:IV60"/>
    </sheetView>
  </sheetViews>
  <sheetFormatPr defaultColWidth="9.140625" defaultRowHeight="12.75"/>
  <cols>
    <col min="1" max="1" width="53.00390625" style="8" customWidth="1"/>
    <col min="2" max="2" width="6.28125" style="8" customWidth="1"/>
    <col min="3" max="3" width="16.421875" style="9" customWidth="1"/>
    <col min="4" max="4" width="20.28125" style="8" customWidth="1"/>
    <col min="5" max="16384" width="9.140625" style="8" customWidth="1"/>
  </cols>
  <sheetData>
    <row r="1" spans="1:4" s="10" customFormat="1" ht="21">
      <c r="A1" s="228" t="s">
        <v>109</v>
      </c>
      <c r="B1" s="228"/>
      <c r="C1" s="228"/>
      <c r="D1" s="228"/>
    </row>
    <row r="2" spans="1:4" s="10" customFormat="1" ht="21">
      <c r="A2" s="228" t="s">
        <v>199</v>
      </c>
      <c r="B2" s="228"/>
      <c r="C2" s="228"/>
      <c r="D2" s="228"/>
    </row>
    <row r="3" spans="1:4" s="10" customFormat="1" ht="21">
      <c r="A3" s="229" t="s">
        <v>359</v>
      </c>
      <c r="B3" s="229"/>
      <c r="C3" s="229"/>
      <c r="D3" s="229"/>
    </row>
    <row r="4" spans="1:4" ht="18">
      <c r="A4" s="61" t="s">
        <v>88</v>
      </c>
      <c r="B4" s="61" t="s">
        <v>89</v>
      </c>
      <c r="C4" s="62" t="s">
        <v>122</v>
      </c>
      <c r="D4" s="61" t="s">
        <v>123</v>
      </c>
    </row>
    <row r="5" spans="1:4" ht="18">
      <c r="A5" s="63"/>
      <c r="B5" s="63"/>
      <c r="C5" s="64"/>
      <c r="D5" s="64"/>
    </row>
    <row r="6" spans="1:5" ht="18">
      <c r="A6" s="65" t="s">
        <v>139</v>
      </c>
      <c r="B6" s="60"/>
      <c r="C6" s="66">
        <f>SUM(C7+C11+C16+C18+C19)</f>
        <v>375590</v>
      </c>
      <c r="D6" s="66">
        <f>SUM(D7+D11+D16+D18+D19)</f>
        <v>81007.39</v>
      </c>
      <c r="E6" s="15"/>
    </row>
    <row r="7" spans="1:5" ht="18">
      <c r="A7" s="67" t="s">
        <v>140</v>
      </c>
      <c r="B7" s="68" t="s">
        <v>31</v>
      </c>
      <c r="C7" s="69">
        <f>SUM(C8:C10)</f>
        <v>69850</v>
      </c>
      <c r="D7" s="69">
        <f>SUM(D8:D10)</f>
        <v>0</v>
      </c>
      <c r="E7" s="15"/>
    </row>
    <row r="8" spans="1:4" ht="18">
      <c r="A8" s="70" t="s">
        <v>124</v>
      </c>
      <c r="B8" s="71" t="s">
        <v>67</v>
      </c>
      <c r="C8" s="72">
        <v>23970</v>
      </c>
      <c r="D8" s="73">
        <v>0</v>
      </c>
    </row>
    <row r="9" spans="1:5" ht="18">
      <c r="A9" s="74" t="s">
        <v>125</v>
      </c>
      <c r="B9" s="75" t="s">
        <v>68</v>
      </c>
      <c r="C9" s="76">
        <v>45750</v>
      </c>
      <c r="D9" s="77">
        <v>0</v>
      </c>
      <c r="E9" s="15"/>
    </row>
    <row r="10" spans="1:4" ht="18">
      <c r="A10" s="78" t="s">
        <v>126</v>
      </c>
      <c r="B10" s="79" t="s">
        <v>69</v>
      </c>
      <c r="C10" s="80">
        <v>130</v>
      </c>
      <c r="D10" s="81">
        <v>0</v>
      </c>
    </row>
    <row r="11" spans="1:4" ht="18">
      <c r="A11" s="67" t="s">
        <v>141</v>
      </c>
      <c r="B11" s="68" t="s">
        <v>33</v>
      </c>
      <c r="C11" s="69">
        <f>SUM(C12:C15)</f>
        <v>350</v>
      </c>
      <c r="D11" s="69">
        <f>SUM(D12:D15)</f>
        <v>292.68</v>
      </c>
    </row>
    <row r="12" spans="1:4" ht="18">
      <c r="A12" s="70" t="s">
        <v>71</v>
      </c>
      <c r="B12" s="71" t="s">
        <v>70</v>
      </c>
      <c r="C12" s="72">
        <v>240</v>
      </c>
      <c r="D12" s="73">
        <v>0</v>
      </c>
    </row>
    <row r="13" spans="1:4" ht="18">
      <c r="A13" s="74" t="s">
        <v>127</v>
      </c>
      <c r="B13" s="75" t="s">
        <v>72</v>
      </c>
      <c r="C13" s="76">
        <v>60</v>
      </c>
      <c r="D13" s="77">
        <v>42.68</v>
      </c>
    </row>
    <row r="14" spans="1:4" ht="18">
      <c r="A14" s="74" t="s">
        <v>128</v>
      </c>
      <c r="B14" s="75" t="s">
        <v>73</v>
      </c>
      <c r="C14" s="76">
        <v>0</v>
      </c>
      <c r="D14" s="77">
        <v>0</v>
      </c>
    </row>
    <row r="15" spans="1:4" ht="18">
      <c r="A15" s="78" t="s">
        <v>321</v>
      </c>
      <c r="B15" s="79" t="s">
        <v>322</v>
      </c>
      <c r="C15" s="80">
        <v>50</v>
      </c>
      <c r="D15" s="81">
        <v>250</v>
      </c>
    </row>
    <row r="16" spans="1:4" ht="18">
      <c r="A16" s="67" t="s">
        <v>142</v>
      </c>
      <c r="B16" s="68" t="s">
        <v>35</v>
      </c>
      <c r="C16" s="69">
        <f>SUM(C17)</f>
        <v>107140</v>
      </c>
      <c r="D16" s="69">
        <f>SUM(D17)</f>
        <v>77714.71</v>
      </c>
    </row>
    <row r="17" spans="1:4" ht="18">
      <c r="A17" s="82" t="s">
        <v>129</v>
      </c>
      <c r="B17" s="68" t="s">
        <v>74</v>
      </c>
      <c r="C17" s="83">
        <v>107140</v>
      </c>
      <c r="D17" s="69">
        <v>77714.71</v>
      </c>
    </row>
    <row r="18" spans="1:4" ht="18">
      <c r="A18" s="67" t="s">
        <v>143</v>
      </c>
      <c r="B18" s="68" t="s">
        <v>37</v>
      </c>
      <c r="C18" s="69">
        <v>0</v>
      </c>
      <c r="D18" s="69">
        <v>0</v>
      </c>
    </row>
    <row r="19" spans="1:4" ht="18">
      <c r="A19" s="84" t="s">
        <v>144</v>
      </c>
      <c r="B19" s="71" t="s">
        <v>39</v>
      </c>
      <c r="C19" s="73">
        <f>SUM(C20:C21)</f>
        <v>198250</v>
      </c>
      <c r="D19" s="73">
        <f>SUM(D20:D21)</f>
        <v>3000</v>
      </c>
    </row>
    <row r="20" spans="1:4" ht="18">
      <c r="A20" s="70" t="s">
        <v>130</v>
      </c>
      <c r="B20" s="71" t="s">
        <v>75</v>
      </c>
      <c r="C20" s="72">
        <v>196500</v>
      </c>
      <c r="D20" s="73">
        <v>3000</v>
      </c>
    </row>
    <row r="21" spans="1:4" ht="18">
      <c r="A21" s="78" t="s">
        <v>200</v>
      </c>
      <c r="B21" s="79" t="s">
        <v>188</v>
      </c>
      <c r="C21" s="80">
        <v>1750</v>
      </c>
      <c r="D21" s="81">
        <v>0</v>
      </c>
    </row>
    <row r="22" spans="1:4" ht="18">
      <c r="A22" s="78" t="s">
        <v>145</v>
      </c>
      <c r="B22" s="63"/>
      <c r="C22" s="81">
        <f>SUM(C23)</f>
        <v>9808360</v>
      </c>
      <c r="D22" s="81">
        <f>SUM(D23)</f>
        <v>2521540.46</v>
      </c>
    </row>
    <row r="23" spans="1:4" ht="18">
      <c r="A23" s="67" t="s">
        <v>140</v>
      </c>
      <c r="B23" s="68" t="s">
        <v>43</v>
      </c>
      <c r="C23" s="69">
        <f>SUM(C24:C31)</f>
        <v>9808360</v>
      </c>
      <c r="D23" s="69">
        <f>SUM(D24:D31)</f>
        <v>2521540.46</v>
      </c>
    </row>
    <row r="24" spans="1:4" ht="18">
      <c r="A24" s="70" t="s">
        <v>131</v>
      </c>
      <c r="B24" s="71" t="s">
        <v>76</v>
      </c>
      <c r="C24" s="72">
        <v>0</v>
      </c>
      <c r="D24" s="73">
        <v>0</v>
      </c>
    </row>
    <row r="25" spans="1:4" ht="18">
      <c r="A25" s="74" t="s">
        <v>315</v>
      </c>
      <c r="B25" s="75" t="s">
        <v>77</v>
      </c>
      <c r="C25" s="76">
        <v>6606470</v>
      </c>
      <c r="D25" s="77">
        <f>SUM(513886.79+1209568.01)</f>
        <v>1723454.8</v>
      </c>
    </row>
    <row r="26" spans="1:4" ht="18">
      <c r="A26" s="74" t="s">
        <v>132</v>
      </c>
      <c r="B26" s="75" t="s">
        <v>78</v>
      </c>
      <c r="C26" s="76">
        <v>8580</v>
      </c>
      <c r="D26" s="77">
        <v>11034.64</v>
      </c>
    </row>
    <row r="27" spans="1:4" ht="18">
      <c r="A27" s="74" t="s">
        <v>133</v>
      </c>
      <c r="B27" s="75" t="s">
        <v>79</v>
      </c>
      <c r="C27" s="76">
        <v>860190</v>
      </c>
      <c r="D27" s="77">
        <v>240984.04</v>
      </c>
    </row>
    <row r="28" spans="1:4" ht="18">
      <c r="A28" s="74" t="s">
        <v>134</v>
      </c>
      <c r="B28" s="75" t="s">
        <v>80</v>
      </c>
      <c r="C28" s="76">
        <v>2072660</v>
      </c>
      <c r="D28" s="77">
        <v>508516.96</v>
      </c>
    </row>
    <row r="29" spans="1:4" ht="18">
      <c r="A29" s="74" t="s">
        <v>135</v>
      </c>
      <c r="B29" s="75" t="s">
        <v>81</v>
      </c>
      <c r="C29" s="76">
        <v>65460</v>
      </c>
      <c r="D29" s="77">
        <v>0</v>
      </c>
    </row>
    <row r="30" spans="1:4" ht="18">
      <c r="A30" s="74" t="s">
        <v>136</v>
      </c>
      <c r="B30" s="75" t="s">
        <v>82</v>
      </c>
      <c r="C30" s="76">
        <v>47090</v>
      </c>
      <c r="D30" s="77">
        <v>22888.02</v>
      </c>
    </row>
    <row r="31" spans="1:4" ht="18">
      <c r="A31" s="78" t="s">
        <v>84</v>
      </c>
      <c r="B31" s="79" t="s">
        <v>83</v>
      </c>
      <c r="C31" s="80">
        <v>147910</v>
      </c>
      <c r="D31" s="81">
        <v>14662</v>
      </c>
    </row>
    <row r="32" spans="1:4" ht="18">
      <c r="A32" s="82" t="s">
        <v>146</v>
      </c>
      <c r="B32" s="60"/>
      <c r="C32" s="69">
        <f>SUM(C33)</f>
        <v>7615990</v>
      </c>
      <c r="D32" s="69">
        <f>SUM(D33)</f>
        <v>3727194</v>
      </c>
    </row>
    <row r="33" spans="1:4" ht="18">
      <c r="A33" s="67" t="s">
        <v>147</v>
      </c>
      <c r="B33" s="68" t="s">
        <v>45</v>
      </c>
      <c r="C33" s="69">
        <f>SUM(C34)</f>
        <v>7615990</v>
      </c>
      <c r="D33" s="69">
        <f>SUM(D34)</f>
        <v>3727194</v>
      </c>
    </row>
    <row r="34" spans="1:4" ht="18">
      <c r="A34" s="82" t="s">
        <v>137</v>
      </c>
      <c r="B34" s="68" t="s">
        <v>85</v>
      </c>
      <c r="C34" s="83">
        <v>7615990</v>
      </c>
      <c r="D34" s="69">
        <v>3727194</v>
      </c>
    </row>
    <row r="35" spans="1:4" ht="18">
      <c r="A35" s="85" t="s">
        <v>193</v>
      </c>
      <c r="B35" s="79"/>
      <c r="C35" s="83">
        <f>SUM(C36)</f>
        <v>0</v>
      </c>
      <c r="D35" s="69">
        <f>SUM(D36)</f>
        <v>2939574</v>
      </c>
    </row>
    <row r="36" spans="1:4" ht="18">
      <c r="A36" s="67" t="s">
        <v>194</v>
      </c>
      <c r="B36" s="68">
        <v>3000</v>
      </c>
      <c r="C36" s="83">
        <f>SUM(C37:C38)</f>
        <v>0</v>
      </c>
      <c r="D36" s="69">
        <f>SUM(D37:D39)</f>
        <v>2939574</v>
      </c>
    </row>
    <row r="37" spans="1:4" ht="18">
      <c r="A37" s="70" t="s">
        <v>360</v>
      </c>
      <c r="B37" s="71">
        <v>3002</v>
      </c>
      <c r="C37" s="72"/>
      <c r="D37" s="73">
        <v>2424600</v>
      </c>
    </row>
    <row r="38" spans="1:4" ht="18">
      <c r="A38" s="74" t="s">
        <v>3</v>
      </c>
      <c r="B38" s="75">
        <v>3002</v>
      </c>
      <c r="C38" s="76">
        <v>0</v>
      </c>
      <c r="D38" s="77">
        <v>453000</v>
      </c>
    </row>
    <row r="39" spans="1:4" ht="18">
      <c r="A39" s="74" t="s">
        <v>361</v>
      </c>
      <c r="B39" s="75">
        <v>3002</v>
      </c>
      <c r="C39" s="76">
        <v>0</v>
      </c>
      <c r="D39" s="77">
        <v>61974</v>
      </c>
    </row>
    <row r="40" spans="1:4" ht="18.75" thickBot="1">
      <c r="A40" s="197" t="s">
        <v>138</v>
      </c>
      <c r="B40" s="126"/>
      <c r="C40" s="127">
        <f>SUM(C6+C22+C32)</f>
        <v>17799940</v>
      </c>
      <c r="D40" s="106">
        <f>SUM(D6+D22+D32+D36)</f>
        <v>9269315.85</v>
      </c>
    </row>
    <row r="41" ht="18.75" thickTop="1"/>
  </sheetData>
  <sheetProtection/>
  <mergeCells count="3">
    <mergeCell ref="A1:D1"/>
    <mergeCell ref="A2:D2"/>
    <mergeCell ref="A3:D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26" t="s">
        <v>109</v>
      </c>
      <c r="B1" s="226"/>
      <c r="C1" s="226"/>
      <c r="D1" s="226"/>
      <c r="E1" s="226"/>
    </row>
    <row r="2" spans="1:5" ht="23.25">
      <c r="A2" s="226" t="s">
        <v>202</v>
      </c>
      <c r="B2" s="226"/>
      <c r="C2" s="226"/>
      <c r="D2" s="226"/>
      <c r="E2" s="226"/>
    </row>
    <row r="3" spans="1:4" ht="23.25">
      <c r="A3" s="234"/>
      <c r="B3" s="226"/>
      <c r="C3" s="226"/>
      <c r="D3" s="226"/>
    </row>
    <row r="4" spans="1:4" ht="23.25">
      <c r="A4" s="235" t="s">
        <v>362</v>
      </c>
      <c r="B4" s="233"/>
      <c r="C4" s="233"/>
      <c r="D4" s="233"/>
    </row>
    <row r="5" spans="1:10" ht="23.25">
      <c r="A5" s="2"/>
      <c r="B5" s="44"/>
      <c r="C5" s="3" t="s">
        <v>6</v>
      </c>
      <c r="D5" s="3" t="s">
        <v>7</v>
      </c>
      <c r="E5" s="3" t="s">
        <v>8</v>
      </c>
      <c r="G5" s="3" t="s">
        <v>29</v>
      </c>
      <c r="H5" s="3" t="s">
        <v>6</v>
      </c>
      <c r="I5" s="3" t="s">
        <v>7</v>
      </c>
      <c r="J5" s="3" t="s">
        <v>8</v>
      </c>
    </row>
    <row r="6" spans="1:10" ht="23.25">
      <c r="A6" s="1" t="s">
        <v>114</v>
      </c>
      <c r="B6" s="45"/>
      <c r="C6" s="6">
        <f>SUM(H6)</f>
        <v>2096.01</v>
      </c>
      <c r="D6" s="5">
        <f aca="true" t="shared" si="0" ref="C6:D12">SUM(I6)</f>
        <v>1726.68</v>
      </c>
      <c r="E6" s="6">
        <f aca="true" t="shared" si="1" ref="E6:E12">SUM(J6)</f>
        <v>1912.91</v>
      </c>
      <c r="G6" s="5">
        <v>1543.58</v>
      </c>
      <c r="H6" s="6">
        <v>2096.01</v>
      </c>
      <c r="I6" s="5">
        <v>1726.68</v>
      </c>
      <c r="J6" s="6">
        <f aca="true" t="shared" si="2" ref="J6:J11">SUM(G6+H6-I6)</f>
        <v>1912.91</v>
      </c>
    </row>
    <row r="7" spans="1:10" ht="23.25">
      <c r="A7" s="1" t="s">
        <v>115</v>
      </c>
      <c r="B7" s="45"/>
      <c r="C7" s="6">
        <f t="shared" si="0"/>
        <v>0</v>
      </c>
      <c r="D7" s="5">
        <f t="shared" si="0"/>
        <v>0</v>
      </c>
      <c r="E7" s="6">
        <f t="shared" si="1"/>
        <v>214644</v>
      </c>
      <c r="G7" s="5">
        <v>214644</v>
      </c>
      <c r="H7" s="6">
        <v>0</v>
      </c>
      <c r="I7" s="5">
        <v>0</v>
      </c>
      <c r="J7" s="6">
        <f t="shared" si="2"/>
        <v>214644</v>
      </c>
    </row>
    <row r="8" spans="1:10" ht="23.25">
      <c r="A8" s="1" t="s">
        <v>112</v>
      </c>
      <c r="B8" s="45"/>
      <c r="C8" s="6">
        <f>SUM(H8)</f>
        <v>0</v>
      </c>
      <c r="D8" s="5">
        <f t="shared" si="0"/>
        <v>0</v>
      </c>
      <c r="E8" s="6">
        <f t="shared" si="1"/>
        <v>2470.8</v>
      </c>
      <c r="G8" s="5">
        <v>2470.8</v>
      </c>
      <c r="H8" s="6">
        <v>0</v>
      </c>
      <c r="I8" s="5">
        <v>0</v>
      </c>
      <c r="J8" s="6">
        <f t="shared" si="2"/>
        <v>2470.8</v>
      </c>
    </row>
    <row r="9" spans="1:10" ht="23.25">
      <c r="A9" s="1" t="s">
        <v>113</v>
      </c>
      <c r="B9" s="45"/>
      <c r="C9" s="6">
        <f>SUM(H9)</f>
        <v>0</v>
      </c>
      <c r="D9" s="5">
        <f t="shared" si="0"/>
        <v>0</v>
      </c>
      <c r="E9" s="6">
        <f t="shared" si="1"/>
        <v>6075.54</v>
      </c>
      <c r="G9" s="5">
        <v>6075.54</v>
      </c>
      <c r="H9" s="6">
        <v>0</v>
      </c>
      <c r="I9" s="5">
        <v>0</v>
      </c>
      <c r="J9" s="6">
        <f t="shared" si="2"/>
        <v>6075.54</v>
      </c>
    </row>
    <row r="10" spans="1:10" ht="23.25">
      <c r="A10" s="1" t="s">
        <v>149</v>
      </c>
      <c r="B10" s="45"/>
      <c r="C10" s="6">
        <f t="shared" si="0"/>
        <v>0</v>
      </c>
      <c r="D10" s="5">
        <f t="shared" si="0"/>
        <v>0</v>
      </c>
      <c r="E10" s="6">
        <f t="shared" si="1"/>
        <v>60973.03</v>
      </c>
      <c r="G10" s="5">
        <v>60973.03</v>
      </c>
      <c r="H10" s="6">
        <v>0</v>
      </c>
      <c r="I10" s="5">
        <v>0</v>
      </c>
      <c r="J10" s="6">
        <f t="shared" si="2"/>
        <v>60973.03</v>
      </c>
    </row>
    <row r="11" spans="1:10" ht="23.25">
      <c r="A11" s="1" t="s">
        <v>307</v>
      </c>
      <c r="B11" s="45"/>
      <c r="C11" s="6">
        <f t="shared" si="0"/>
        <v>0</v>
      </c>
      <c r="D11" s="5">
        <f t="shared" si="0"/>
        <v>0</v>
      </c>
      <c r="E11" s="6">
        <f t="shared" si="1"/>
        <v>1150436.74</v>
      </c>
      <c r="G11" s="5">
        <v>1150436.74</v>
      </c>
      <c r="H11" s="6">
        <v>0</v>
      </c>
      <c r="I11" s="5">
        <v>0</v>
      </c>
      <c r="J11" s="6">
        <f t="shared" si="2"/>
        <v>1150436.74</v>
      </c>
    </row>
    <row r="12" spans="1:10" ht="23.25">
      <c r="A12" s="1" t="s">
        <v>191</v>
      </c>
      <c r="B12" s="45"/>
      <c r="C12" s="6">
        <f t="shared" si="0"/>
        <v>0</v>
      </c>
      <c r="D12" s="5">
        <f t="shared" si="0"/>
        <v>0</v>
      </c>
      <c r="E12" s="6">
        <f t="shared" si="1"/>
        <v>1680</v>
      </c>
      <c r="G12" s="5">
        <v>1680</v>
      </c>
      <c r="H12" s="6">
        <v>0</v>
      </c>
      <c r="I12" s="5">
        <v>0</v>
      </c>
      <c r="J12" s="6">
        <f>SUM(G12+H12-I12)</f>
        <v>1680</v>
      </c>
    </row>
    <row r="13" spans="1:10" ht="23.25">
      <c r="A13" s="1" t="s">
        <v>305</v>
      </c>
      <c r="B13" s="45"/>
      <c r="C13" s="6">
        <f aca="true" t="shared" si="3" ref="C13:E14">SUM(H13)</f>
        <v>0</v>
      </c>
      <c r="D13" s="5">
        <f t="shared" si="3"/>
        <v>0</v>
      </c>
      <c r="E13" s="6">
        <f t="shared" si="3"/>
        <v>0</v>
      </c>
      <c r="G13" s="5">
        <v>0</v>
      </c>
      <c r="H13" s="6">
        <v>0</v>
      </c>
      <c r="I13" s="5">
        <v>0</v>
      </c>
      <c r="J13" s="6">
        <f>SUM(G13+H13-I13)</f>
        <v>0</v>
      </c>
    </row>
    <row r="14" spans="1:10" ht="23.25">
      <c r="A14" s="1" t="s">
        <v>309</v>
      </c>
      <c r="B14" s="45"/>
      <c r="C14" s="6">
        <f t="shared" si="3"/>
        <v>0</v>
      </c>
      <c r="D14" s="5">
        <f t="shared" si="3"/>
        <v>0</v>
      </c>
      <c r="E14" s="6">
        <f t="shared" si="3"/>
        <v>0</v>
      </c>
      <c r="G14" s="5">
        <v>0</v>
      </c>
      <c r="H14" s="6">
        <v>0</v>
      </c>
      <c r="I14" s="5">
        <v>0</v>
      </c>
      <c r="J14" s="6">
        <v>0</v>
      </c>
    </row>
    <row r="15" spans="2:10" ht="24" thickBot="1">
      <c r="B15" s="45"/>
      <c r="C15" s="4">
        <f>SUM(C6:C14)</f>
        <v>2096.01</v>
      </c>
      <c r="D15" s="4">
        <f>SUM(D6:D14)</f>
        <v>1726.68</v>
      </c>
      <c r="E15" s="7">
        <f>SUM(E6:E14)</f>
        <v>1438193.02</v>
      </c>
      <c r="F15" s="57"/>
      <c r="G15" s="4">
        <f>SUM(G6:G14)</f>
        <v>1437823.69</v>
      </c>
      <c r="H15" s="4">
        <f>SUM(H6:H14)</f>
        <v>2096.01</v>
      </c>
      <c r="I15" s="4">
        <f>SUM(I6:I14)</f>
        <v>1726.68</v>
      </c>
      <c r="J15" s="7">
        <f>SUM(G15+H15-I15)</f>
        <v>1438193.02</v>
      </c>
    </row>
    <row r="16" ht="24" thickTop="1"/>
    <row r="18" spans="1:5" ht="23.25">
      <c r="A18" s="232"/>
      <c r="B18" s="232"/>
      <c r="C18" s="232"/>
      <c r="D18" s="232"/>
      <c r="E18" s="232"/>
    </row>
    <row r="19" spans="1:5" ht="23.25">
      <c r="A19" s="230"/>
      <c r="B19" s="231"/>
      <c r="C19" s="231"/>
      <c r="D19" s="231"/>
      <c r="E19" s="31"/>
    </row>
    <row r="20" spans="1:5" ht="23.25">
      <c r="A20" s="230"/>
      <c r="B20" s="231"/>
      <c r="C20" s="231"/>
      <c r="D20" s="231"/>
      <c r="E20" s="31"/>
    </row>
    <row r="21" spans="1:5" ht="23.25">
      <c r="A21" s="86"/>
      <c r="B21" s="87"/>
      <c r="C21" s="87"/>
      <c r="D21" s="87"/>
      <c r="E21" s="31"/>
    </row>
    <row r="22" spans="1:5" ht="23.25">
      <c r="A22" s="44"/>
      <c r="B22" s="44"/>
      <c r="C22" s="44"/>
      <c r="D22" s="44"/>
      <c r="E22" s="44"/>
    </row>
    <row r="23" spans="1:5" ht="23.25">
      <c r="A23" s="31"/>
      <c r="B23" s="45"/>
      <c r="C23" s="88"/>
      <c r="D23" s="45"/>
      <c r="E23" s="88"/>
    </row>
    <row r="24" spans="1:5" ht="23.25">
      <c r="A24" s="31"/>
      <c r="B24" s="45"/>
      <c r="C24" s="88"/>
      <c r="D24" s="45"/>
      <c r="E24" s="88"/>
    </row>
    <row r="25" spans="1:5" ht="23.25">
      <c r="A25" s="31"/>
      <c r="B25" s="45"/>
      <c r="C25" s="88"/>
      <c r="D25" s="45"/>
      <c r="E25" s="88"/>
    </row>
    <row r="26" spans="1:5" ht="23.25">
      <c r="A26" s="31"/>
      <c r="B26" s="45"/>
      <c r="C26" s="88"/>
      <c r="D26" s="45"/>
      <c r="E26" s="88"/>
    </row>
    <row r="27" spans="1:5" ht="23.25">
      <c r="A27" s="31"/>
      <c r="B27" s="45"/>
      <c r="C27" s="88"/>
      <c r="D27" s="45"/>
      <c r="E27" s="88"/>
    </row>
    <row r="28" spans="1:5" ht="23.25">
      <c r="A28" s="31"/>
      <c r="B28" s="45"/>
      <c r="C28" s="88"/>
      <c r="D28" s="45"/>
      <c r="E28" s="88"/>
    </row>
    <row r="29" spans="1:5" ht="23.25">
      <c r="A29" s="31"/>
      <c r="B29" s="45"/>
      <c r="C29" s="88"/>
      <c r="D29" s="45"/>
      <c r="E29" s="88"/>
    </row>
    <row r="30" spans="1:5" ht="23.25">
      <c r="A30" s="31"/>
      <c r="B30" s="45"/>
      <c r="C30" s="45"/>
      <c r="D30" s="45"/>
      <c r="E30" s="88"/>
    </row>
    <row r="31" spans="1:5" ht="23.25">
      <c r="A31" s="31"/>
      <c r="B31" s="31"/>
      <c r="C31" s="31"/>
      <c r="D31" s="31"/>
      <c r="E31" s="31"/>
    </row>
    <row r="32" spans="1:5" ht="23.25">
      <c r="A32" s="31"/>
      <c r="B32" s="31"/>
      <c r="C32" s="31"/>
      <c r="D32" s="31"/>
      <c r="E32" s="31"/>
    </row>
    <row r="33" spans="1:5" ht="23.25">
      <c r="A33" s="31"/>
      <c r="B33" s="31"/>
      <c r="C33" s="31"/>
      <c r="D33" s="31"/>
      <c r="E33" s="31"/>
    </row>
    <row r="34" spans="1:5" ht="23.25">
      <c r="A34" s="31"/>
      <c r="B34" s="31"/>
      <c r="C34" s="31"/>
      <c r="D34" s="31"/>
      <c r="E34" s="31"/>
    </row>
    <row r="35" spans="1:5" ht="23.25">
      <c r="A35" s="31"/>
      <c r="B35" s="31"/>
      <c r="C35" s="31"/>
      <c r="D35" s="31"/>
      <c r="E35" s="31"/>
    </row>
    <row r="36" spans="1:5" ht="23.25">
      <c r="A36" s="31"/>
      <c r="B36" s="31"/>
      <c r="C36" s="31"/>
      <c r="D36" s="31"/>
      <c r="E36" s="31"/>
    </row>
    <row r="37" spans="1:5" ht="23.25">
      <c r="A37" s="31"/>
      <c r="B37" s="31"/>
      <c r="C37" s="31"/>
      <c r="D37" s="31"/>
      <c r="E37" s="31"/>
    </row>
    <row r="38" spans="1:5" ht="23.25">
      <c r="A38" s="31"/>
      <c r="B38" s="31"/>
      <c r="C38" s="31"/>
      <c r="D38" s="31"/>
      <c r="E38" s="31"/>
    </row>
    <row r="39" spans="1:5" ht="23.25">
      <c r="A39" s="31"/>
      <c r="B39" s="31"/>
      <c r="C39" s="31"/>
      <c r="D39" s="31"/>
      <c r="E39" s="31"/>
    </row>
    <row r="40" spans="1:5" ht="23.25">
      <c r="A40" s="31"/>
      <c r="B40" s="31"/>
      <c r="C40" s="31"/>
      <c r="D40" s="31"/>
      <c r="E40" s="31"/>
    </row>
    <row r="41" spans="1:5" ht="23.25">
      <c r="A41" s="31"/>
      <c r="B41" s="31"/>
      <c r="C41" s="31"/>
      <c r="D41" s="31"/>
      <c r="E41" s="31"/>
    </row>
    <row r="42" spans="1:5" ht="23.25">
      <c r="A42" s="31"/>
      <c r="B42" s="31"/>
      <c r="C42" s="31"/>
      <c r="D42" s="31"/>
      <c r="E42" s="31"/>
    </row>
    <row r="43" spans="1:5" ht="23.25">
      <c r="A43" s="31"/>
      <c r="B43" s="31"/>
      <c r="C43" s="31"/>
      <c r="D43" s="31"/>
      <c r="E43" s="31"/>
    </row>
    <row r="44" spans="1:5" ht="23.25">
      <c r="A44" s="31"/>
      <c r="B44" s="31"/>
      <c r="C44" s="31"/>
      <c r="D44" s="31"/>
      <c r="E44" s="31"/>
    </row>
    <row r="45" spans="1:5" ht="23.25">
      <c r="A45" s="31"/>
      <c r="B45" s="31"/>
      <c r="C45" s="31"/>
      <c r="D45" s="31"/>
      <c r="E45" s="31"/>
    </row>
    <row r="46" spans="1:5" ht="23.25">
      <c r="A46" s="31"/>
      <c r="B46" s="31"/>
      <c r="C46" s="31"/>
      <c r="D46" s="31"/>
      <c r="E46" s="31"/>
    </row>
    <row r="47" spans="1:5" ht="23.25">
      <c r="A47" s="31"/>
      <c r="B47" s="31"/>
      <c r="C47" s="31"/>
      <c r="D47" s="31"/>
      <c r="E47" s="31"/>
    </row>
    <row r="48" spans="1:5" ht="23.25">
      <c r="A48" s="31"/>
      <c r="B48" s="31"/>
      <c r="C48" s="31"/>
      <c r="D48" s="31"/>
      <c r="E48" s="31"/>
    </row>
    <row r="49" spans="1:5" ht="23.25">
      <c r="A49" s="31"/>
      <c r="B49" s="31"/>
      <c r="C49" s="31"/>
      <c r="D49" s="31"/>
      <c r="E49" s="31"/>
    </row>
    <row r="50" spans="1:5" ht="23.25">
      <c r="A50" s="31"/>
      <c r="B50" s="31"/>
      <c r="C50" s="31"/>
      <c r="D50" s="31"/>
      <c r="E50" s="31"/>
    </row>
    <row r="51" spans="1:5" ht="23.25">
      <c r="A51" s="31"/>
      <c r="B51" s="31"/>
      <c r="C51" s="31"/>
      <c r="D51" s="31"/>
      <c r="E51" s="31"/>
    </row>
    <row r="52" spans="1:5" ht="23.25">
      <c r="A52" s="31"/>
      <c r="B52" s="31"/>
      <c r="C52" s="31"/>
      <c r="D52" s="31"/>
      <c r="E52" s="31"/>
    </row>
    <row r="53" spans="1:5" ht="23.25">
      <c r="A53" s="31"/>
      <c r="B53" s="31"/>
      <c r="C53" s="31"/>
      <c r="D53" s="31"/>
      <c r="E53" s="31"/>
    </row>
    <row r="54" spans="1:5" ht="23.25">
      <c r="A54" s="31"/>
      <c r="B54" s="31"/>
      <c r="C54" s="31"/>
      <c r="D54" s="31"/>
      <c r="E54" s="31"/>
    </row>
    <row r="55" spans="1:5" ht="23.25">
      <c r="A55" s="31"/>
      <c r="B55" s="31"/>
      <c r="C55" s="31"/>
      <c r="D55" s="31"/>
      <c r="E55" s="31"/>
    </row>
    <row r="56" spans="1:5" ht="23.25">
      <c r="A56" s="31"/>
      <c r="B56" s="31"/>
      <c r="C56" s="31"/>
      <c r="D56" s="31"/>
      <c r="E56" s="31"/>
    </row>
    <row r="57" spans="1:5" ht="23.25">
      <c r="A57" s="31"/>
      <c r="B57" s="31"/>
      <c r="C57" s="31"/>
      <c r="D57" s="31"/>
      <c r="E57" s="31"/>
    </row>
    <row r="58" spans="1:5" ht="23.25">
      <c r="A58" s="31"/>
      <c r="B58" s="31"/>
      <c r="C58" s="31"/>
      <c r="D58" s="31"/>
      <c r="E58" s="31"/>
    </row>
    <row r="59" spans="1:5" ht="23.25">
      <c r="A59" s="31"/>
      <c r="B59" s="31"/>
      <c r="C59" s="31"/>
      <c r="D59" s="31"/>
      <c r="E59" s="31"/>
    </row>
    <row r="60" spans="1:5" ht="23.25">
      <c r="A60" s="31"/>
      <c r="B60" s="31"/>
      <c r="C60" s="31"/>
      <c r="D60" s="31"/>
      <c r="E60" s="31"/>
    </row>
    <row r="61" spans="1:5" ht="23.25">
      <c r="A61" s="31"/>
      <c r="B61" s="31"/>
      <c r="C61" s="31"/>
      <c r="D61" s="31"/>
      <c r="E61" s="31"/>
    </row>
    <row r="62" spans="1:5" ht="23.25">
      <c r="A62" s="31"/>
      <c r="B62" s="31"/>
      <c r="C62" s="31"/>
      <c r="D62" s="31"/>
      <c r="E62" s="31"/>
    </row>
    <row r="63" spans="1:5" ht="23.25">
      <c r="A63" s="31"/>
      <c r="B63" s="31"/>
      <c r="C63" s="31"/>
      <c r="D63" s="31"/>
      <c r="E63" s="31"/>
    </row>
    <row r="64" spans="1:5" ht="23.25">
      <c r="A64" s="31"/>
      <c r="B64" s="31"/>
      <c r="C64" s="31"/>
      <c r="D64" s="31"/>
      <c r="E64" s="31"/>
    </row>
  </sheetData>
  <sheetProtection/>
  <mergeCells count="7">
    <mergeCell ref="A1:E1"/>
    <mergeCell ref="A2:E2"/>
    <mergeCell ref="A3:D3"/>
    <mergeCell ref="A4:D4"/>
    <mergeCell ref="A20:D20"/>
    <mergeCell ref="A18:E18"/>
    <mergeCell ref="A19:D1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4">
      <selection activeCell="C25" sqref="C25"/>
    </sheetView>
  </sheetViews>
  <sheetFormatPr defaultColWidth="9.140625" defaultRowHeight="12.75"/>
  <cols>
    <col min="1" max="1" width="9.140625" style="13" customWidth="1"/>
    <col min="2" max="2" width="44.28125" style="13" customWidth="1"/>
    <col min="3" max="4" width="12.7109375" style="13" customWidth="1"/>
    <col min="5" max="5" width="11.28125" style="13" customWidth="1"/>
    <col min="6" max="6" width="12.7109375" style="13" customWidth="1"/>
    <col min="7" max="7" width="8.8515625" style="13" customWidth="1"/>
    <col min="8" max="16384" width="9.140625" style="13" customWidth="1"/>
  </cols>
  <sheetData>
    <row r="1" spans="2:7" ht="16.5">
      <c r="B1" s="247" t="s">
        <v>109</v>
      </c>
      <c r="C1" s="247"/>
      <c r="D1" s="247"/>
      <c r="E1" s="247"/>
      <c r="F1" s="247"/>
      <c r="G1" s="247"/>
    </row>
    <row r="2" spans="2:7" ht="16.5">
      <c r="B2" s="247" t="s">
        <v>202</v>
      </c>
      <c r="C2" s="247"/>
      <c r="D2" s="247"/>
      <c r="E2" s="247"/>
      <c r="F2" s="247"/>
      <c r="G2" s="247"/>
    </row>
    <row r="3" spans="2:7" ht="16.5">
      <c r="B3" s="247"/>
      <c r="C3" s="247"/>
      <c r="D3" s="247"/>
      <c r="E3" s="247"/>
      <c r="F3" s="247"/>
      <c r="G3" s="247"/>
    </row>
    <row r="4" spans="2:7" ht="16.5">
      <c r="B4" s="258" t="s">
        <v>370</v>
      </c>
      <c r="C4" s="258"/>
      <c r="D4" s="258"/>
      <c r="E4" s="258"/>
      <c r="F4" s="258"/>
      <c r="G4" s="258"/>
    </row>
    <row r="5" spans="2:7" ht="16.5">
      <c r="B5" s="26"/>
      <c r="C5" s="219"/>
      <c r="D5" s="219"/>
      <c r="E5" s="26"/>
      <c r="F5" s="26"/>
      <c r="G5" s="26"/>
    </row>
    <row r="6" spans="2:7" ht="16.5">
      <c r="B6" s="253" t="s">
        <v>86</v>
      </c>
      <c r="C6" s="259" t="s">
        <v>156</v>
      </c>
      <c r="D6" s="260"/>
      <c r="E6" s="253" t="s">
        <v>335</v>
      </c>
      <c r="F6" s="253" t="s">
        <v>8</v>
      </c>
      <c r="G6" s="253" t="s">
        <v>157</v>
      </c>
    </row>
    <row r="7" spans="2:7" ht="16.5">
      <c r="B7" s="254"/>
      <c r="C7" s="16" t="s">
        <v>336</v>
      </c>
      <c r="D7" s="16" t="s">
        <v>337</v>
      </c>
      <c r="E7" s="254"/>
      <c r="F7" s="254"/>
      <c r="G7" s="254"/>
    </row>
    <row r="8" spans="2:7" ht="16.5">
      <c r="B8" s="17" t="s">
        <v>338</v>
      </c>
      <c r="C8" s="204">
        <v>5340</v>
      </c>
      <c r="D8" s="18">
        <v>0</v>
      </c>
      <c r="E8" s="19">
        <v>5340</v>
      </c>
      <c r="F8" s="21">
        <f aca="true" t="shared" si="0" ref="F8:F14">SUM(C8+D8-E8)</f>
        <v>0</v>
      </c>
      <c r="G8" s="205"/>
    </row>
    <row r="9" spans="2:7" ht="16.5">
      <c r="B9" s="20" t="s">
        <v>339</v>
      </c>
      <c r="C9" s="206">
        <v>289268.22</v>
      </c>
      <c r="D9" s="207">
        <v>0</v>
      </c>
      <c r="E9" s="208">
        <v>289268.22</v>
      </c>
      <c r="F9" s="21">
        <f t="shared" si="0"/>
        <v>0</v>
      </c>
      <c r="G9" s="209"/>
    </row>
    <row r="10" spans="2:7" ht="16.5">
      <c r="B10" s="20" t="s">
        <v>340</v>
      </c>
      <c r="C10" s="206">
        <v>6000</v>
      </c>
      <c r="D10" s="21">
        <v>0</v>
      </c>
      <c r="E10" s="22">
        <v>6000</v>
      </c>
      <c r="F10" s="21">
        <f t="shared" si="0"/>
        <v>0</v>
      </c>
      <c r="G10" s="209"/>
    </row>
    <row r="11" spans="2:7" ht="16.5">
      <c r="B11" s="20" t="s">
        <v>341</v>
      </c>
      <c r="C11" s="206">
        <v>64000</v>
      </c>
      <c r="D11" s="206">
        <v>0</v>
      </c>
      <c r="E11" s="22">
        <v>64000</v>
      </c>
      <c r="F11" s="21">
        <f t="shared" si="0"/>
        <v>0</v>
      </c>
      <c r="G11" s="209"/>
    </row>
    <row r="12" spans="2:7" ht="16.5">
      <c r="B12" s="20" t="s">
        <v>342</v>
      </c>
      <c r="C12" s="206">
        <v>1800</v>
      </c>
      <c r="D12" s="206">
        <v>0</v>
      </c>
      <c r="E12" s="22">
        <v>1800</v>
      </c>
      <c r="F12" s="21">
        <f t="shared" si="0"/>
        <v>0</v>
      </c>
      <c r="G12" s="209"/>
    </row>
    <row r="13" spans="2:7" ht="16.5">
      <c r="B13" s="20" t="s">
        <v>343</v>
      </c>
      <c r="C13" s="206">
        <v>54300</v>
      </c>
      <c r="D13" s="206">
        <v>11700</v>
      </c>
      <c r="E13" s="22">
        <v>54300</v>
      </c>
      <c r="F13" s="21">
        <f t="shared" si="0"/>
        <v>11700</v>
      </c>
      <c r="G13" s="209"/>
    </row>
    <row r="14" spans="2:7" ht="16.5">
      <c r="B14" s="20" t="s">
        <v>344</v>
      </c>
      <c r="C14" s="206">
        <v>25500</v>
      </c>
      <c r="D14" s="206">
        <v>1500</v>
      </c>
      <c r="E14" s="22">
        <v>25500</v>
      </c>
      <c r="F14" s="21">
        <f t="shared" si="0"/>
        <v>1500</v>
      </c>
      <c r="G14" s="209"/>
    </row>
    <row r="15" spans="2:7" ht="16.5">
      <c r="B15" s="20" t="s">
        <v>345</v>
      </c>
      <c r="C15" s="206">
        <v>31400</v>
      </c>
      <c r="D15" s="206">
        <v>8600</v>
      </c>
      <c r="E15" s="22">
        <v>31400</v>
      </c>
      <c r="F15" s="21">
        <f>SUM(C15+D15-E15)</f>
        <v>8600</v>
      </c>
      <c r="G15" s="209"/>
    </row>
    <row r="16" spans="2:7" ht="16.5">
      <c r="B16" s="20" t="s">
        <v>346</v>
      </c>
      <c r="C16" s="206">
        <v>22400</v>
      </c>
      <c r="D16" s="206">
        <v>9600</v>
      </c>
      <c r="E16" s="22">
        <v>22400</v>
      </c>
      <c r="F16" s="21">
        <f>SUM(C16+D16-E16)</f>
        <v>9600</v>
      </c>
      <c r="G16" s="209"/>
    </row>
    <row r="17" spans="2:7" ht="16.5">
      <c r="B17" s="58" t="s">
        <v>347</v>
      </c>
      <c r="C17" s="23">
        <v>0</v>
      </c>
      <c r="D17" s="206">
        <v>1021740</v>
      </c>
      <c r="E17" s="22">
        <v>0</v>
      </c>
      <c r="F17" s="21">
        <f>SUM(C17+D17-E17)</f>
        <v>1021740</v>
      </c>
      <c r="G17" s="209"/>
    </row>
    <row r="18" spans="2:7" ht="17.25" thickBot="1">
      <c r="B18" s="203" t="s">
        <v>155</v>
      </c>
      <c r="C18" s="24">
        <f>SUM(C8:C17)</f>
        <v>500008.22</v>
      </c>
      <c r="D18" s="24">
        <f>SUM(D8:D17)</f>
        <v>1053140</v>
      </c>
      <c r="E18" s="24">
        <f>SUM(E8:E17)</f>
        <v>500008.22</v>
      </c>
      <c r="F18" s="210">
        <f>SUM(F8:F17)</f>
        <v>1053140</v>
      </c>
      <c r="G18" s="211"/>
    </row>
    <row r="19" ht="17.25" thickTop="1"/>
  </sheetData>
  <sheetProtection/>
  <mergeCells count="9">
    <mergeCell ref="B2:G2"/>
    <mergeCell ref="C6:D6"/>
    <mergeCell ref="E6:E7"/>
    <mergeCell ref="F6:F7"/>
    <mergeCell ref="B1:G1"/>
    <mergeCell ref="B3:G3"/>
    <mergeCell ref="B4:G4"/>
    <mergeCell ref="G6:G7"/>
    <mergeCell ref="B6:B7"/>
  </mergeCells>
  <printOptions/>
  <pageMargins left="0.7" right="0.7" top="0.75" bottom="0.5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A1">
      <selection activeCell="A19" sqref="A19:IV30"/>
    </sheetView>
  </sheetViews>
  <sheetFormatPr defaultColWidth="9.140625" defaultRowHeight="12.75"/>
  <cols>
    <col min="1" max="1" width="9.140625" style="8" customWidth="1"/>
    <col min="2" max="2" width="44.00390625" style="8" customWidth="1"/>
    <col min="3" max="3" width="11.7109375" style="8" customWidth="1"/>
    <col min="4" max="4" width="12.28125" style="8" customWidth="1"/>
    <col min="5" max="5" width="11.28125" style="8" customWidth="1"/>
    <col min="6" max="6" width="10.421875" style="8" customWidth="1"/>
    <col min="7" max="7" width="8.421875" style="8" customWidth="1"/>
    <col min="8" max="16384" width="9.140625" style="8" customWidth="1"/>
  </cols>
  <sheetData>
    <row r="1" spans="2:7" ht="18">
      <c r="B1" s="255" t="s">
        <v>109</v>
      </c>
      <c r="C1" s="255"/>
      <c r="D1" s="255"/>
      <c r="E1" s="255"/>
      <c r="F1" s="255"/>
      <c r="G1" s="255"/>
    </row>
    <row r="2" spans="2:7" ht="18">
      <c r="B2" s="247" t="s">
        <v>202</v>
      </c>
      <c r="C2" s="247"/>
      <c r="D2" s="247"/>
      <c r="E2" s="247"/>
      <c r="F2" s="247"/>
      <c r="G2" s="247"/>
    </row>
    <row r="3" spans="2:7" ht="18">
      <c r="B3" s="14"/>
      <c r="C3" s="14"/>
      <c r="D3" s="14"/>
      <c r="E3" s="14"/>
      <c r="F3" s="14"/>
      <c r="G3" s="14"/>
    </row>
    <row r="4" spans="2:7" ht="18">
      <c r="B4" s="202" t="s">
        <v>371</v>
      </c>
      <c r="C4" s="14"/>
      <c r="D4" s="14"/>
      <c r="E4" s="14"/>
      <c r="F4" s="14"/>
      <c r="G4" s="14"/>
    </row>
    <row r="5" spans="2:7" ht="18">
      <c r="B5" s="255"/>
      <c r="C5" s="255"/>
      <c r="D5" s="255"/>
      <c r="E5" s="255"/>
      <c r="F5" s="255"/>
      <c r="G5" s="255"/>
    </row>
    <row r="6" spans="2:7" ht="18">
      <c r="B6" s="256" t="s">
        <v>86</v>
      </c>
      <c r="C6" s="261" t="s">
        <v>156</v>
      </c>
      <c r="D6" s="262"/>
      <c r="E6" s="256" t="s">
        <v>335</v>
      </c>
      <c r="F6" s="256" t="s">
        <v>8</v>
      </c>
      <c r="G6" s="256" t="s">
        <v>157</v>
      </c>
    </row>
    <row r="7" spans="2:7" ht="18">
      <c r="B7" s="257"/>
      <c r="C7" s="60" t="s">
        <v>336</v>
      </c>
      <c r="D7" s="60" t="s">
        <v>337</v>
      </c>
      <c r="E7" s="257"/>
      <c r="F7" s="257"/>
      <c r="G7" s="257"/>
    </row>
    <row r="8" spans="2:7" ht="18">
      <c r="B8" s="212" t="s">
        <v>348</v>
      </c>
      <c r="C8" s="25">
        <v>229500</v>
      </c>
      <c r="D8" s="77">
        <v>0</v>
      </c>
      <c r="E8" s="25">
        <f>SUM(164441.29+53487.62)</f>
        <v>217928.91</v>
      </c>
      <c r="F8" s="77">
        <f aca="true" t="shared" si="0" ref="F8:F17">SUM(C8+D8-E8)</f>
        <v>11571.089999999997</v>
      </c>
      <c r="G8" s="213"/>
    </row>
    <row r="9" spans="2:7" ht="18">
      <c r="B9" s="212" t="s">
        <v>349</v>
      </c>
      <c r="C9" s="25">
        <v>18810</v>
      </c>
      <c r="D9" s="77">
        <v>0</v>
      </c>
      <c r="E9" s="25">
        <f>SUM(11913+5016)</f>
        <v>16929</v>
      </c>
      <c r="F9" s="77">
        <f t="shared" si="0"/>
        <v>1881</v>
      </c>
      <c r="G9" s="213"/>
    </row>
    <row r="10" spans="2:7" ht="18">
      <c r="B10" s="212" t="s">
        <v>350</v>
      </c>
      <c r="C10" s="25">
        <v>188300</v>
      </c>
      <c r="D10" s="77">
        <v>0</v>
      </c>
      <c r="E10" s="25">
        <f>SUM(120265.61+58893.45)</f>
        <v>179159.06</v>
      </c>
      <c r="F10" s="77">
        <f t="shared" si="0"/>
        <v>9140.940000000002</v>
      </c>
      <c r="G10" s="213"/>
    </row>
    <row r="11" spans="2:7" ht="18">
      <c r="B11" s="212" t="s">
        <v>351</v>
      </c>
      <c r="C11" s="25">
        <v>19590</v>
      </c>
      <c r="D11" s="77">
        <v>0</v>
      </c>
      <c r="E11" s="25">
        <f>SUM(12407+5224)</f>
        <v>17631</v>
      </c>
      <c r="F11" s="77">
        <f t="shared" si="0"/>
        <v>1959</v>
      </c>
      <c r="G11" s="213"/>
    </row>
    <row r="12" spans="2:7" ht="18">
      <c r="B12" s="212" t="s">
        <v>352</v>
      </c>
      <c r="C12" s="25">
        <v>93600</v>
      </c>
      <c r="D12" s="77">
        <v>0</v>
      </c>
      <c r="E12" s="25">
        <f>SUM(65520+21840)</f>
        <v>87360</v>
      </c>
      <c r="F12" s="77">
        <f t="shared" si="0"/>
        <v>6240</v>
      </c>
      <c r="G12" s="213"/>
    </row>
    <row r="13" spans="2:7" ht="18">
      <c r="B13" s="212" t="s">
        <v>353</v>
      </c>
      <c r="C13" s="25">
        <v>42900</v>
      </c>
      <c r="D13" s="77">
        <v>0</v>
      </c>
      <c r="E13" s="25">
        <f>SUM(31460+10010)</f>
        <v>41470</v>
      </c>
      <c r="F13" s="77">
        <f t="shared" si="0"/>
        <v>1430</v>
      </c>
      <c r="G13" s="213"/>
    </row>
    <row r="14" spans="2:7" ht="18">
      <c r="B14" s="212" t="s">
        <v>354</v>
      </c>
      <c r="C14" s="25">
        <v>47010</v>
      </c>
      <c r="D14" s="77">
        <v>0</v>
      </c>
      <c r="E14" s="25">
        <f>SUM(33429+11622)</f>
        <v>45051</v>
      </c>
      <c r="F14" s="77">
        <f t="shared" si="0"/>
        <v>1959</v>
      </c>
      <c r="G14" s="213"/>
    </row>
    <row r="15" spans="2:7" ht="18">
      <c r="B15" s="212" t="s">
        <v>355</v>
      </c>
      <c r="C15" s="25">
        <v>35760</v>
      </c>
      <c r="D15" s="77">
        <v>0</v>
      </c>
      <c r="E15" s="25">
        <f>SUM(25032+8344)</f>
        <v>33376</v>
      </c>
      <c r="F15" s="77">
        <f t="shared" si="0"/>
        <v>2384</v>
      </c>
      <c r="G15" s="213"/>
    </row>
    <row r="16" spans="2:7" ht="18">
      <c r="B16" s="212" t="s">
        <v>356</v>
      </c>
      <c r="C16" s="25">
        <v>19590</v>
      </c>
      <c r="D16" s="77">
        <v>0</v>
      </c>
      <c r="E16" s="25">
        <f>SUM(12407+5224)</f>
        <v>17631</v>
      </c>
      <c r="F16" s="77">
        <f t="shared" si="0"/>
        <v>1959</v>
      </c>
      <c r="G16" s="213"/>
    </row>
    <row r="17" spans="2:7" ht="18">
      <c r="B17" s="214" t="s">
        <v>357</v>
      </c>
      <c r="C17" s="179">
        <v>41730</v>
      </c>
      <c r="D17" s="81">
        <v>0</v>
      </c>
      <c r="E17" s="179">
        <f>SUM(31460+10010)</f>
        <v>41470</v>
      </c>
      <c r="F17" s="81">
        <f t="shared" si="0"/>
        <v>260</v>
      </c>
      <c r="G17" s="215"/>
    </row>
    <row r="18" spans="2:7" ht="18.75" thickBot="1">
      <c r="B18" s="216" t="s">
        <v>155</v>
      </c>
      <c r="C18" s="217">
        <f>SUM(C8:C17)</f>
        <v>736790</v>
      </c>
      <c r="D18" s="217">
        <f>SUM(D8:D17)</f>
        <v>0</v>
      </c>
      <c r="E18" s="217">
        <f>SUM(E8:E17)</f>
        <v>698005.97</v>
      </c>
      <c r="F18" s="201">
        <f>SUM(F8:F17)</f>
        <v>38784.03</v>
      </c>
      <c r="G18" s="218"/>
    </row>
    <row r="19" spans="3:5" ht="18.75" thickTop="1">
      <c r="C19" s="200"/>
      <c r="D19" s="200"/>
      <c r="E19" s="200"/>
    </row>
    <row r="20" spans="3:5" ht="18">
      <c r="C20" s="200"/>
      <c r="D20" s="200"/>
      <c r="E20" s="200"/>
    </row>
  </sheetData>
  <sheetProtection/>
  <mergeCells count="8">
    <mergeCell ref="G6:G7"/>
    <mergeCell ref="B1:G1"/>
    <mergeCell ref="B2:G2"/>
    <mergeCell ref="B5:G5"/>
    <mergeCell ref="B6:B7"/>
    <mergeCell ref="C6:D6"/>
    <mergeCell ref="E6:E7"/>
    <mergeCell ref="F6:F7"/>
  </mergeCells>
  <printOptions/>
  <pageMargins left="0.7" right="0.7" top="0.43" bottom="0.42" header="0.3" footer="0.1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E1" sqref="E1:E16384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4.140625" style="1" customWidth="1"/>
    <col min="5" max="16384" width="18.421875" style="1" customWidth="1"/>
  </cols>
  <sheetData>
    <row r="1" spans="1:4" ht="23.25">
      <c r="A1" s="27" t="s">
        <v>160</v>
      </c>
      <c r="B1" s="28"/>
      <c r="C1" s="28"/>
      <c r="D1" s="29"/>
    </row>
    <row r="2" spans="1:4" ht="23.25">
      <c r="A2" s="30"/>
      <c r="B2" s="31"/>
      <c r="C2" s="31" t="s">
        <v>286</v>
      </c>
      <c r="D2" s="32"/>
    </row>
    <row r="3" spans="1:4" s="56" customFormat="1" ht="31.5">
      <c r="A3" s="33" t="s">
        <v>161</v>
      </c>
      <c r="B3" s="34"/>
      <c r="C3" s="34"/>
      <c r="D3" s="35"/>
    </row>
    <row r="4" spans="1:4" ht="23.25">
      <c r="A4" s="30"/>
      <c r="B4" s="31"/>
      <c r="C4" s="31" t="s">
        <v>314</v>
      </c>
      <c r="D4" s="32"/>
    </row>
    <row r="5" spans="1:5" ht="23.25">
      <c r="A5" s="30" t="s">
        <v>364</v>
      </c>
      <c r="B5" s="31"/>
      <c r="C5" s="31"/>
      <c r="D5" s="36">
        <v>7577547.02</v>
      </c>
      <c r="E5" s="2"/>
    </row>
    <row r="6" spans="1:4" ht="23.25">
      <c r="A6" s="30" t="s">
        <v>162</v>
      </c>
      <c r="B6" s="31"/>
      <c r="C6" s="31"/>
      <c r="D6" s="37"/>
    </row>
    <row r="7" spans="1:4" ht="23.25">
      <c r="A7" s="38" t="s">
        <v>163</v>
      </c>
      <c r="B7" s="39" t="s">
        <v>164</v>
      </c>
      <c r="C7" s="39" t="s">
        <v>156</v>
      </c>
      <c r="D7" s="37"/>
    </row>
    <row r="8" spans="1:5" ht="23.25">
      <c r="A8" s="30"/>
      <c r="B8" s="31"/>
      <c r="C8" s="31"/>
      <c r="D8" s="37"/>
      <c r="E8" s="31"/>
    </row>
    <row r="9" spans="1:5" ht="23.25">
      <c r="A9" s="40"/>
      <c r="B9" s="41"/>
      <c r="C9" s="41"/>
      <c r="D9" s="42"/>
      <c r="E9" s="31"/>
    </row>
    <row r="10" spans="1:4" ht="23.25">
      <c r="A10" s="30" t="s">
        <v>165</v>
      </c>
      <c r="B10" s="31"/>
      <c r="C10" s="31"/>
      <c r="D10" s="37"/>
    </row>
    <row r="11" spans="1:4" ht="23.25">
      <c r="A11" s="38" t="s">
        <v>166</v>
      </c>
      <c r="B11" s="39" t="s">
        <v>167</v>
      </c>
      <c r="C11" s="39" t="s">
        <v>156</v>
      </c>
      <c r="D11" s="37"/>
    </row>
    <row r="12" spans="1:4" ht="23.25">
      <c r="A12" s="183" t="s">
        <v>365</v>
      </c>
      <c r="B12" s="190" t="s">
        <v>366</v>
      </c>
      <c r="C12" s="45">
        <v>96030</v>
      </c>
      <c r="D12" s="104">
        <f>SUM(C12)</f>
        <v>96030</v>
      </c>
    </row>
    <row r="13" spans="1:4" ht="23.25">
      <c r="A13" s="46"/>
      <c r="B13" s="108"/>
      <c r="C13" s="48"/>
      <c r="D13" s="42"/>
    </row>
    <row r="14" spans="1:4" ht="23.25">
      <c r="A14" s="183"/>
      <c r="B14" s="181"/>
      <c r="C14" s="48"/>
      <c r="D14" s="37"/>
    </row>
    <row r="15" spans="1:4" ht="23.25">
      <c r="A15" s="46"/>
      <c r="B15" s="109"/>
      <c r="C15" s="48"/>
      <c r="D15" s="42"/>
    </row>
    <row r="16" spans="1:4" ht="23.25">
      <c r="A16" s="183"/>
      <c r="B16" s="108"/>
      <c r="C16" s="48"/>
      <c r="D16" s="42"/>
    </row>
    <row r="17" spans="1:5" ht="23.25">
      <c r="A17" s="46"/>
      <c r="B17" s="47"/>
      <c r="C17" s="48"/>
      <c r="D17" s="37"/>
      <c r="E17" s="57"/>
    </row>
    <row r="18" spans="1:5" ht="23.25">
      <c r="A18" s="46" t="s">
        <v>168</v>
      </c>
      <c r="B18" s="47"/>
      <c r="C18" s="48"/>
      <c r="D18" s="42"/>
      <c r="E18" s="31"/>
    </row>
    <row r="19" spans="1:5" ht="23.25">
      <c r="A19" s="30" t="s">
        <v>169</v>
      </c>
      <c r="B19" s="31"/>
      <c r="C19" s="31"/>
      <c r="D19" s="37"/>
      <c r="E19" s="31"/>
    </row>
    <row r="20" spans="1:5" ht="23.25">
      <c r="A20" s="30" t="s">
        <v>170</v>
      </c>
      <c r="B20" s="31"/>
      <c r="C20" s="31"/>
      <c r="D20" s="37"/>
      <c r="E20" s="31"/>
    </row>
    <row r="21" spans="1:5" ht="23.25">
      <c r="A21" s="49" t="s">
        <v>166</v>
      </c>
      <c r="B21" s="50" t="s">
        <v>167</v>
      </c>
      <c r="C21" s="50" t="s">
        <v>156</v>
      </c>
      <c r="D21" s="42"/>
      <c r="E21" s="31"/>
    </row>
    <row r="22" spans="1:5" ht="23.25">
      <c r="A22" s="43"/>
      <c r="B22" s="44"/>
      <c r="C22" s="45"/>
      <c r="D22" s="37"/>
      <c r="E22" s="31"/>
    </row>
    <row r="23" spans="1:5" ht="23.25">
      <c r="A23" s="51"/>
      <c r="B23" s="47"/>
      <c r="C23" s="52"/>
      <c r="D23" s="42"/>
      <c r="E23" s="31"/>
    </row>
    <row r="24" spans="1:5" ht="23.25">
      <c r="A24" s="53" t="s">
        <v>368</v>
      </c>
      <c r="B24" s="54"/>
      <c r="C24" s="31"/>
      <c r="D24" s="37">
        <v>7481517.02</v>
      </c>
      <c r="E24" s="194"/>
    </row>
    <row r="25" spans="1:5" ht="23.25">
      <c r="A25" s="30" t="s">
        <v>171</v>
      </c>
      <c r="B25" s="31"/>
      <c r="C25" s="55" t="s">
        <v>172</v>
      </c>
      <c r="D25" s="29"/>
      <c r="E25" s="31"/>
    </row>
    <row r="26" spans="1:5" ht="23.25">
      <c r="A26" s="30"/>
      <c r="B26" s="31"/>
      <c r="C26" s="30"/>
      <c r="D26" s="32"/>
      <c r="E26" s="31"/>
    </row>
    <row r="27" spans="1:5" ht="23.25">
      <c r="A27" s="30" t="s">
        <v>173</v>
      </c>
      <c r="B27" s="31" t="s">
        <v>367</v>
      </c>
      <c r="C27" s="30" t="s">
        <v>174</v>
      </c>
      <c r="D27" s="32" t="s">
        <v>367</v>
      </c>
      <c r="E27" s="31"/>
    </row>
    <row r="28" spans="1:5" ht="23.25">
      <c r="A28" s="236" t="s">
        <v>316</v>
      </c>
      <c r="B28" s="237"/>
      <c r="C28" s="236" t="s">
        <v>358</v>
      </c>
      <c r="D28" s="238"/>
      <c r="E28" s="31"/>
    </row>
    <row r="29" spans="1:5" ht="23.25">
      <c r="A29" s="44"/>
      <c r="B29" s="44"/>
      <c r="C29" s="44"/>
      <c r="D29" s="44"/>
      <c r="E29" s="31"/>
    </row>
    <row r="30" spans="1:5" ht="23.25">
      <c r="A30" s="44"/>
      <c r="B30" s="44"/>
      <c r="C30" s="44"/>
      <c r="D30" s="44"/>
      <c r="E30" s="31"/>
    </row>
    <row r="31" spans="1:4" ht="23.25">
      <c r="A31" s="27" t="s">
        <v>160</v>
      </c>
      <c r="B31" s="28"/>
      <c r="C31" s="28"/>
      <c r="D31" s="29"/>
    </row>
    <row r="32" spans="1:4" ht="23.25">
      <c r="A32" s="30"/>
      <c r="B32" s="31"/>
      <c r="C32" s="31" t="s">
        <v>291</v>
      </c>
      <c r="D32" s="32"/>
    </row>
    <row r="33" spans="1:4" ht="31.5">
      <c r="A33" s="33" t="s">
        <v>161</v>
      </c>
      <c r="B33" s="34"/>
      <c r="C33" s="34"/>
      <c r="D33" s="35"/>
    </row>
    <row r="34" spans="1:4" ht="23.25">
      <c r="A34" s="30"/>
      <c r="B34" s="31"/>
      <c r="C34" s="31" t="s">
        <v>292</v>
      </c>
      <c r="D34" s="32"/>
    </row>
    <row r="35" spans="1:4" ht="23.25">
      <c r="A35" s="30" t="s">
        <v>324</v>
      </c>
      <c r="B35" s="31"/>
      <c r="C35" s="31"/>
      <c r="D35" s="36">
        <v>7796407.8</v>
      </c>
    </row>
    <row r="36" spans="1:4" ht="23.25">
      <c r="A36" s="30" t="s">
        <v>162</v>
      </c>
      <c r="B36" s="31"/>
      <c r="C36" s="31"/>
      <c r="D36" s="37"/>
    </row>
    <row r="37" spans="1:4" ht="23.25">
      <c r="A37" s="38" t="s">
        <v>163</v>
      </c>
      <c r="B37" s="39" t="s">
        <v>164</v>
      </c>
      <c r="C37" s="39" t="s">
        <v>156</v>
      </c>
      <c r="D37" s="37"/>
    </row>
    <row r="38" spans="1:4" ht="23.25">
      <c r="A38" s="43"/>
      <c r="B38" s="180"/>
      <c r="C38" s="31"/>
      <c r="D38" s="37"/>
    </row>
    <row r="39" spans="1:4" ht="23.25">
      <c r="A39" s="40"/>
      <c r="B39" s="41"/>
      <c r="C39" s="41"/>
      <c r="D39" s="42"/>
    </row>
    <row r="40" spans="1:4" ht="23.25">
      <c r="A40" s="30" t="s">
        <v>165</v>
      </c>
      <c r="B40" s="31"/>
      <c r="C40" s="31"/>
      <c r="D40" s="37"/>
    </row>
    <row r="41" spans="1:4" ht="23.25">
      <c r="A41" s="38" t="s">
        <v>166</v>
      </c>
      <c r="B41" s="39" t="s">
        <v>167</v>
      </c>
      <c r="C41" s="39" t="s">
        <v>156</v>
      </c>
      <c r="D41" s="37"/>
    </row>
    <row r="42" spans="1:4" ht="23.25">
      <c r="A42" s="107"/>
      <c r="B42" s="108"/>
      <c r="C42" s="182"/>
      <c r="D42" s="104"/>
    </row>
    <row r="43" spans="1:4" ht="23.25">
      <c r="A43" s="107"/>
      <c r="B43" s="109"/>
      <c r="C43" s="45"/>
      <c r="D43" s="104"/>
    </row>
    <row r="44" spans="1:4" ht="23.25">
      <c r="A44" s="107"/>
      <c r="B44" s="108"/>
      <c r="C44" s="48"/>
      <c r="D44" s="42">
        <f>SUM(C44)</f>
        <v>0</v>
      </c>
    </row>
    <row r="45" spans="1:4" ht="23.25">
      <c r="A45" s="107"/>
      <c r="B45" s="181"/>
      <c r="C45" s="48"/>
      <c r="D45" s="37">
        <f>SUM(C45)</f>
        <v>0</v>
      </c>
    </row>
    <row r="46" spans="1:4" ht="23.25">
      <c r="A46" s="107"/>
      <c r="B46" s="109"/>
      <c r="C46" s="48"/>
      <c r="D46" s="42">
        <f>SUM(C46)</f>
        <v>0</v>
      </c>
    </row>
    <row r="47" spans="1:4" ht="23.25">
      <c r="A47" s="107"/>
      <c r="B47" s="108"/>
      <c r="C47" s="48"/>
      <c r="D47" s="42">
        <f>SUM(C47)</f>
        <v>0</v>
      </c>
    </row>
    <row r="48" spans="1:4" ht="23.25">
      <c r="A48" s="46" t="s">
        <v>168</v>
      </c>
      <c r="B48" s="47"/>
      <c r="C48" s="48"/>
      <c r="D48" s="42"/>
    </row>
    <row r="49" spans="1:4" ht="23.25">
      <c r="A49" s="30" t="s">
        <v>169</v>
      </c>
      <c r="B49" s="31"/>
      <c r="C49" s="31"/>
      <c r="D49" s="37"/>
    </row>
    <row r="50" spans="1:4" ht="23.25">
      <c r="A50" s="30" t="s">
        <v>300</v>
      </c>
      <c r="B50" s="31"/>
      <c r="C50" s="31"/>
      <c r="D50" s="37"/>
    </row>
    <row r="51" spans="1:4" ht="23.25">
      <c r="A51" s="49" t="s">
        <v>166</v>
      </c>
      <c r="B51" s="50" t="s">
        <v>167</v>
      </c>
      <c r="C51" s="50" t="s">
        <v>156</v>
      </c>
      <c r="D51" s="42"/>
    </row>
    <row r="52" spans="1:4" ht="23.25">
      <c r="A52" s="128"/>
      <c r="B52" s="44"/>
      <c r="C52" s="45"/>
      <c r="D52" s="37">
        <f>SUM(C52)</f>
        <v>0</v>
      </c>
    </row>
    <row r="53" spans="1:5" ht="23.25">
      <c r="A53" s="51"/>
      <c r="B53" s="47"/>
      <c r="C53" s="52"/>
      <c r="D53" s="42"/>
      <c r="E53" s="57"/>
    </row>
    <row r="54" spans="1:4" ht="23.25">
      <c r="A54" s="53" t="s">
        <v>325</v>
      </c>
      <c r="B54" s="54"/>
      <c r="C54" s="31"/>
      <c r="D54" s="37">
        <f>SUM(D35-D42-D43-D44-D45-D46-D47-D52-D53)</f>
        <v>7796407.8</v>
      </c>
    </row>
    <row r="55" spans="1:4" ht="23.25">
      <c r="A55" s="30" t="s">
        <v>171</v>
      </c>
      <c r="B55" s="31"/>
      <c r="C55" s="55" t="s">
        <v>172</v>
      </c>
      <c r="D55" s="29"/>
    </row>
    <row r="56" spans="1:4" ht="23.25">
      <c r="A56" s="30"/>
      <c r="B56" s="31"/>
      <c r="C56" s="30"/>
      <c r="D56" s="32"/>
    </row>
    <row r="57" spans="1:4" ht="23.25">
      <c r="A57" s="30" t="s">
        <v>173</v>
      </c>
      <c r="B57" s="31" t="s">
        <v>326</v>
      </c>
      <c r="C57" s="30" t="s">
        <v>174</v>
      </c>
      <c r="D57" s="32" t="s">
        <v>327</v>
      </c>
    </row>
    <row r="58" spans="1:4" ht="23.25">
      <c r="A58" s="236" t="s">
        <v>317</v>
      </c>
      <c r="B58" s="237"/>
      <c r="C58" s="236" t="s">
        <v>175</v>
      </c>
      <c r="D58" s="238"/>
    </row>
    <row r="59" spans="1:4" ht="23.25">
      <c r="A59" s="44"/>
      <c r="B59" s="44"/>
      <c r="C59" s="44"/>
      <c r="D59" s="44"/>
    </row>
    <row r="60" spans="1:4" ht="23.25">
      <c r="A60" s="44"/>
      <c r="B60" s="44"/>
      <c r="C60" s="44"/>
      <c r="D60" s="44"/>
    </row>
    <row r="62" spans="1:4" ht="23.25">
      <c r="A62" s="27" t="s">
        <v>160</v>
      </c>
      <c r="B62" s="28"/>
      <c r="C62" s="28"/>
      <c r="D62" s="29"/>
    </row>
    <row r="63" spans="1:4" ht="23.25">
      <c r="A63" s="30"/>
      <c r="B63" s="31"/>
      <c r="C63" s="31" t="s">
        <v>318</v>
      </c>
      <c r="D63" s="32"/>
    </row>
    <row r="64" spans="1:4" s="56" customFormat="1" ht="31.5">
      <c r="A64" s="33" t="s">
        <v>161</v>
      </c>
      <c r="B64" s="34"/>
      <c r="C64" s="34"/>
      <c r="D64" s="35"/>
    </row>
    <row r="65" spans="1:4" ht="23.25">
      <c r="A65" s="30"/>
      <c r="B65" s="31"/>
      <c r="C65" s="31" t="s">
        <v>320</v>
      </c>
      <c r="D65" s="32"/>
    </row>
    <row r="66" spans="1:5" ht="23.25">
      <c r="A66" s="30" t="s">
        <v>328</v>
      </c>
      <c r="B66" s="31"/>
      <c r="C66" s="31"/>
      <c r="D66" s="36">
        <v>3175874.33</v>
      </c>
      <c r="E66" s="2"/>
    </row>
    <row r="67" spans="1:4" ht="23.25">
      <c r="A67" s="30" t="s">
        <v>162</v>
      </c>
      <c r="B67" s="31"/>
      <c r="C67" s="31"/>
      <c r="D67" s="37"/>
    </row>
    <row r="68" spans="1:4" ht="23.25">
      <c r="A68" s="38" t="s">
        <v>163</v>
      </c>
      <c r="B68" s="39" t="s">
        <v>164</v>
      </c>
      <c r="C68" s="39" t="s">
        <v>156</v>
      </c>
      <c r="D68" s="37"/>
    </row>
    <row r="69" spans="1:5" ht="23.25">
      <c r="A69" s="30"/>
      <c r="B69" s="31"/>
      <c r="C69" s="31"/>
      <c r="D69" s="37"/>
      <c r="E69" s="31"/>
    </row>
    <row r="70" spans="1:5" ht="23.25">
      <c r="A70" s="40"/>
      <c r="B70" s="41"/>
      <c r="C70" s="41"/>
      <c r="D70" s="42"/>
      <c r="E70" s="31"/>
    </row>
    <row r="71" spans="1:4" ht="23.25">
      <c r="A71" s="30" t="s">
        <v>165</v>
      </c>
      <c r="B71" s="31"/>
      <c r="C71" s="31"/>
      <c r="D71" s="37"/>
    </row>
    <row r="72" spans="1:4" ht="23.25">
      <c r="A72" s="38" t="s">
        <v>166</v>
      </c>
      <c r="B72" s="39" t="s">
        <v>167</v>
      </c>
      <c r="C72" s="39" t="s">
        <v>156</v>
      </c>
      <c r="D72" s="37"/>
    </row>
    <row r="73" spans="1:4" ht="23.25">
      <c r="A73" s="183"/>
      <c r="B73" s="199"/>
      <c r="C73" s="45"/>
      <c r="D73" s="104"/>
    </row>
    <row r="74" spans="1:4" ht="23.25">
      <c r="A74" s="46"/>
      <c r="B74" s="108"/>
      <c r="C74" s="48"/>
      <c r="D74" s="42"/>
    </row>
    <row r="75" spans="1:4" ht="23.25">
      <c r="A75" s="183"/>
      <c r="B75" s="181"/>
      <c r="C75" s="48"/>
      <c r="D75" s="37"/>
    </row>
    <row r="76" spans="1:4" ht="23.25">
      <c r="A76" s="46"/>
      <c r="B76" s="109"/>
      <c r="C76" s="48"/>
      <c r="D76" s="42"/>
    </row>
    <row r="77" spans="1:4" ht="23.25">
      <c r="A77" s="183"/>
      <c r="B77" s="108"/>
      <c r="C77" s="48"/>
      <c r="D77" s="42"/>
    </row>
    <row r="78" spans="1:5" ht="23.25">
      <c r="A78" s="239"/>
      <c r="B78" s="240"/>
      <c r="C78" s="240"/>
      <c r="D78" s="37"/>
      <c r="E78" s="57"/>
    </row>
    <row r="79" spans="1:5" ht="23.25">
      <c r="A79" s="46" t="s">
        <v>168</v>
      </c>
      <c r="B79" s="47"/>
      <c r="C79" s="48"/>
      <c r="D79" s="42"/>
      <c r="E79" s="31"/>
    </row>
    <row r="80" spans="1:5" ht="23.25">
      <c r="A80" s="30" t="s">
        <v>169</v>
      </c>
      <c r="B80" s="31"/>
      <c r="C80" s="31"/>
      <c r="D80" s="37"/>
      <c r="E80" s="31"/>
    </row>
    <row r="81" spans="1:5" ht="23.25">
      <c r="A81" s="30" t="s">
        <v>170</v>
      </c>
      <c r="B81" s="241" t="s">
        <v>319</v>
      </c>
      <c r="C81" s="241"/>
      <c r="D81" s="37">
        <v>20008.58</v>
      </c>
      <c r="E81" s="31"/>
    </row>
    <row r="82" spans="1:5" ht="23.25">
      <c r="A82" s="49" t="s">
        <v>166</v>
      </c>
      <c r="B82" s="50" t="s">
        <v>167</v>
      </c>
      <c r="C82" s="50" t="s">
        <v>156</v>
      </c>
      <c r="D82" s="42"/>
      <c r="E82" s="31"/>
    </row>
    <row r="83" spans="1:5" ht="23.25">
      <c r="A83" s="43"/>
      <c r="B83" s="44"/>
      <c r="C83" s="45"/>
      <c r="D83" s="37"/>
      <c r="E83" s="31"/>
    </row>
    <row r="84" spans="1:5" ht="23.25">
      <c r="A84" s="51"/>
      <c r="B84" s="47"/>
      <c r="C84" s="52"/>
      <c r="D84" s="42"/>
      <c r="E84" s="31"/>
    </row>
    <row r="85" spans="1:5" ht="23.25">
      <c r="A85" s="53" t="s">
        <v>329</v>
      </c>
      <c r="B85" s="54"/>
      <c r="C85" s="31"/>
      <c r="D85" s="37">
        <v>3155865.75</v>
      </c>
      <c r="E85" s="194"/>
    </row>
    <row r="86" spans="1:5" ht="23.25">
      <c r="A86" s="30" t="s">
        <v>171</v>
      </c>
      <c r="B86" s="31"/>
      <c r="C86" s="55" t="s">
        <v>172</v>
      </c>
      <c r="D86" s="29"/>
      <c r="E86" s="198"/>
    </row>
    <row r="87" spans="1:5" ht="23.25">
      <c r="A87" s="30"/>
      <c r="B87" s="31"/>
      <c r="C87" s="30"/>
      <c r="D87" s="32"/>
      <c r="E87" s="194"/>
    </row>
    <row r="88" spans="1:5" ht="23.25">
      <c r="A88" s="30" t="s">
        <v>173</v>
      </c>
      <c r="B88" s="31" t="s">
        <v>326</v>
      </c>
      <c r="C88" s="30" t="s">
        <v>174</v>
      </c>
      <c r="D88" s="32" t="s">
        <v>323</v>
      </c>
      <c r="E88" s="31"/>
    </row>
    <row r="89" spans="1:5" ht="23.25">
      <c r="A89" s="236" t="s">
        <v>316</v>
      </c>
      <c r="B89" s="237"/>
      <c r="C89" s="236" t="s">
        <v>175</v>
      </c>
      <c r="D89" s="238"/>
      <c r="E89" s="31"/>
    </row>
  </sheetData>
  <sheetProtection/>
  <mergeCells count="8">
    <mergeCell ref="A89:B89"/>
    <mergeCell ref="C89:D89"/>
    <mergeCell ref="A78:C78"/>
    <mergeCell ref="A28:B28"/>
    <mergeCell ref="C28:D28"/>
    <mergeCell ref="A58:B58"/>
    <mergeCell ref="C58:D58"/>
    <mergeCell ref="B81:C8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zoomScalePageLayoutView="0" workbookViewId="0" topLeftCell="A1">
      <selection activeCell="C92" sqref="C92"/>
    </sheetView>
  </sheetViews>
  <sheetFormatPr defaultColWidth="9.140625" defaultRowHeight="12.75"/>
  <cols>
    <col min="1" max="1" width="14.421875" style="130" customWidth="1"/>
    <col min="2" max="2" width="15.7109375" style="130" customWidth="1"/>
    <col min="3" max="3" width="37.7109375" style="130" customWidth="1"/>
    <col min="4" max="4" width="12.28125" style="177" customWidth="1"/>
    <col min="5" max="5" width="18.7109375" style="130" customWidth="1"/>
    <col min="6" max="6" width="11.28125" style="130" customWidth="1"/>
    <col min="7" max="7" width="13.8515625" style="130" customWidth="1"/>
    <col min="8" max="8" width="18.00390625" style="130" customWidth="1"/>
    <col min="9" max="9" width="19.421875" style="131" customWidth="1"/>
    <col min="10" max="10" width="18.8515625" style="130" customWidth="1"/>
    <col min="11" max="11" width="17.140625" style="130" customWidth="1"/>
    <col min="12" max="12" width="11.7109375" style="130" bestFit="1" customWidth="1"/>
    <col min="13" max="16384" width="9.140625" style="130" customWidth="1"/>
  </cols>
  <sheetData>
    <row r="1" spans="1:5" ht="18.75">
      <c r="A1" s="244" t="s">
        <v>21</v>
      </c>
      <c r="B1" s="244"/>
      <c r="C1" s="244"/>
      <c r="D1" s="244"/>
      <c r="E1" s="244"/>
    </row>
    <row r="2" spans="1:5" ht="18.75">
      <c r="A2" s="244" t="s">
        <v>22</v>
      </c>
      <c r="B2" s="244"/>
      <c r="C2" s="244"/>
      <c r="D2" s="244"/>
      <c r="E2" s="244"/>
    </row>
    <row r="3" spans="1:4" ht="18.75">
      <c r="A3" s="129"/>
      <c r="B3" s="129"/>
      <c r="C3" s="129"/>
      <c r="D3" s="124" t="s">
        <v>331</v>
      </c>
    </row>
    <row r="4" spans="1:5" ht="18.75">
      <c r="A4" s="227" t="s">
        <v>23</v>
      </c>
      <c r="B4" s="227"/>
      <c r="C4" s="227"/>
      <c r="D4" s="227"/>
      <c r="E4" s="227"/>
    </row>
    <row r="5" spans="1:5" ht="19.5" thickBot="1">
      <c r="A5" s="132"/>
      <c r="B5" s="132"/>
      <c r="C5" s="132"/>
      <c r="D5" s="124" t="s">
        <v>369</v>
      </c>
      <c r="E5" s="132"/>
    </row>
    <row r="6" spans="1:5" ht="19.5" thickTop="1">
      <c r="A6" s="245" t="s">
        <v>24</v>
      </c>
      <c r="B6" s="246"/>
      <c r="C6" s="133"/>
      <c r="D6" s="134"/>
      <c r="E6" s="135" t="s">
        <v>148</v>
      </c>
    </row>
    <row r="7" spans="1:5" ht="18.75">
      <c r="A7" s="136" t="s">
        <v>122</v>
      </c>
      <c r="B7" s="137" t="s">
        <v>25</v>
      </c>
      <c r="C7" s="138" t="s">
        <v>88</v>
      </c>
      <c r="D7" s="139" t="s">
        <v>26</v>
      </c>
      <c r="E7" s="140" t="s">
        <v>25</v>
      </c>
    </row>
    <row r="8" spans="1:5" ht="19.5" thickBot="1">
      <c r="A8" s="141" t="s">
        <v>27</v>
      </c>
      <c r="B8" s="142" t="s">
        <v>27</v>
      </c>
      <c r="C8" s="141"/>
      <c r="D8" s="143" t="s">
        <v>28</v>
      </c>
      <c r="E8" s="142" t="s">
        <v>27</v>
      </c>
    </row>
    <row r="9" spans="1:5" ht="19.5" thickTop="1">
      <c r="A9" s="133"/>
      <c r="B9" s="144">
        <v>21756620.35</v>
      </c>
      <c r="C9" s="145" t="s">
        <v>29</v>
      </c>
      <c r="D9" s="134"/>
      <c r="E9" s="146">
        <v>25589539.47</v>
      </c>
    </row>
    <row r="10" spans="1:11" ht="18.75">
      <c r="A10" s="138"/>
      <c r="B10" s="144"/>
      <c r="C10" s="147" t="s">
        <v>306</v>
      </c>
      <c r="D10" s="139"/>
      <c r="E10" s="148"/>
      <c r="I10" s="112"/>
      <c r="J10" s="111"/>
      <c r="K10" s="111"/>
    </row>
    <row r="11" spans="1:12" ht="18.75">
      <c r="A11" s="144">
        <v>69850</v>
      </c>
      <c r="B11" s="148">
        <v>0</v>
      </c>
      <c r="C11" s="149" t="s">
        <v>30</v>
      </c>
      <c r="D11" s="139" t="s">
        <v>31</v>
      </c>
      <c r="E11" s="148">
        <v>0</v>
      </c>
      <c r="G11" s="150"/>
      <c r="I11" s="112"/>
      <c r="J11" s="119"/>
      <c r="K11" s="119"/>
      <c r="L11" s="150"/>
    </row>
    <row r="12" spans="1:12" ht="18.75">
      <c r="A12" s="144">
        <v>350</v>
      </c>
      <c r="B12" s="148">
        <v>292.68</v>
      </c>
      <c r="C12" s="149" t="s">
        <v>32</v>
      </c>
      <c r="D12" s="139" t="s">
        <v>33</v>
      </c>
      <c r="E12" s="148">
        <v>50</v>
      </c>
      <c r="G12" s="150"/>
      <c r="I12" s="112"/>
      <c r="J12" s="119"/>
      <c r="K12" s="119"/>
      <c r="L12" s="150"/>
    </row>
    <row r="13" spans="1:11" ht="18.75">
      <c r="A13" s="144">
        <v>107140</v>
      </c>
      <c r="B13" s="148">
        <v>77714.71</v>
      </c>
      <c r="C13" s="149" t="s">
        <v>34</v>
      </c>
      <c r="D13" s="139" t="s">
        <v>35</v>
      </c>
      <c r="E13" s="148">
        <v>76730.56</v>
      </c>
      <c r="G13" s="150"/>
      <c r="J13" s="150"/>
      <c r="K13" s="150"/>
    </row>
    <row r="14" spans="1:10" ht="18.75">
      <c r="A14" s="144">
        <v>0</v>
      </c>
      <c r="B14" s="148">
        <v>0</v>
      </c>
      <c r="C14" s="149" t="s">
        <v>36</v>
      </c>
      <c r="D14" s="139" t="s">
        <v>37</v>
      </c>
      <c r="E14" s="148">
        <v>0</v>
      </c>
      <c r="G14" s="150"/>
      <c r="I14" s="112"/>
      <c r="J14" s="119"/>
    </row>
    <row r="15" spans="1:10" ht="18.75">
      <c r="A15" s="144">
        <v>198250</v>
      </c>
      <c r="B15" s="148">
        <v>3000</v>
      </c>
      <c r="C15" s="149" t="s">
        <v>38</v>
      </c>
      <c r="D15" s="139" t="s">
        <v>39</v>
      </c>
      <c r="E15" s="148">
        <v>0</v>
      </c>
      <c r="G15" s="150"/>
      <c r="J15" s="150"/>
    </row>
    <row r="16" spans="1:7" ht="18.75">
      <c r="A16" s="144">
        <v>0</v>
      </c>
      <c r="B16" s="148">
        <v>0</v>
      </c>
      <c r="C16" s="149" t="s">
        <v>40</v>
      </c>
      <c r="D16" s="139" t="s">
        <v>41</v>
      </c>
      <c r="E16" s="148">
        <v>0</v>
      </c>
      <c r="G16" s="150"/>
    </row>
    <row r="17" spans="1:7" ht="18.75">
      <c r="A17" s="144">
        <v>9808360</v>
      </c>
      <c r="B17" s="148">
        <v>2521540.46</v>
      </c>
      <c r="C17" s="149" t="s">
        <v>42</v>
      </c>
      <c r="D17" s="139" t="s">
        <v>43</v>
      </c>
      <c r="E17" s="148">
        <v>523210.98</v>
      </c>
      <c r="F17" s="150"/>
      <c r="G17" s="150"/>
    </row>
    <row r="18" spans="1:7" ht="18.75">
      <c r="A18" s="151">
        <v>7615990</v>
      </c>
      <c r="B18" s="152">
        <v>3727194</v>
      </c>
      <c r="C18" s="149" t="s">
        <v>44</v>
      </c>
      <c r="D18" s="139" t="s">
        <v>45</v>
      </c>
      <c r="E18" s="152">
        <v>0</v>
      </c>
      <c r="G18" s="150"/>
    </row>
    <row r="19" spans="1:7" ht="19.5" thickBot="1">
      <c r="A19" s="153">
        <f>SUM(A11:A18)</f>
        <v>17799940</v>
      </c>
      <c r="B19" s="154">
        <f>SUM(B11:B18)</f>
        <v>6329741.85</v>
      </c>
      <c r="D19" s="139"/>
      <c r="E19" s="154">
        <f>SUM(E11+E12+E13+E14+E15+E16+E17+E18)</f>
        <v>599991.54</v>
      </c>
      <c r="F19" s="150"/>
      <c r="G19" s="150"/>
    </row>
    <row r="20" spans="1:7" ht="19.5" thickTop="1">
      <c r="A20" s="155"/>
      <c r="B20" s="156">
        <v>11317.58</v>
      </c>
      <c r="C20" s="149" t="s">
        <v>283</v>
      </c>
      <c r="D20" s="139" t="s">
        <v>46</v>
      </c>
      <c r="E20" s="146">
        <f>SUM(2096.01)</f>
        <v>2096.01</v>
      </c>
      <c r="G20" s="150"/>
    </row>
    <row r="21" spans="1:7" ht="18.75">
      <c r="A21" s="155"/>
      <c r="B21" s="144">
        <f>SUM(180300-40200)</f>
        <v>140100</v>
      </c>
      <c r="C21" s="157" t="s">
        <v>10</v>
      </c>
      <c r="D21" s="139" t="s">
        <v>47</v>
      </c>
      <c r="E21" s="148">
        <v>0</v>
      </c>
      <c r="G21" s="150"/>
    </row>
    <row r="22" spans="1:7" ht="18.75">
      <c r="A22" s="155"/>
      <c r="B22" s="144">
        <v>505800</v>
      </c>
      <c r="C22" s="149" t="s">
        <v>9</v>
      </c>
      <c r="D22" s="139" t="s">
        <v>11</v>
      </c>
      <c r="E22" s="148">
        <f>SUM(18000+18000)</f>
        <v>36000</v>
      </c>
      <c r="F22" s="150"/>
      <c r="G22" s="150"/>
    </row>
    <row r="23" spans="1:7" ht="18.75">
      <c r="A23" s="155"/>
      <c r="B23" s="148">
        <v>0</v>
      </c>
      <c r="C23" s="158" t="s">
        <v>189</v>
      </c>
      <c r="D23" s="139" t="s">
        <v>190</v>
      </c>
      <c r="E23" s="148">
        <v>0</v>
      </c>
      <c r="G23" s="150"/>
    </row>
    <row r="24" spans="1:7" ht="18.75">
      <c r="A24" s="155"/>
      <c r="B24" s="148">
        <v>0</v>
      </c>
      <c r="C24" s="155" t="s">
        <v>297</v>
      </c>
      <c r="D24" s="139" t="s">
        <v>288</v>
      </c>
      <c r="E24" s="148">
        <v>0</v>
      </c>
      <c r="G24" s="150"/>
    </row>
    <row r="25" spans="1:7" ht="18.75">
      <c r="A25" s="155"/>
      <c r="B25" s="144">
        <v>2939574</v>
      </c>
      <c r="C25" s="149" t="s">
        <v>196</v>
      </c>
      <c r="D25" s="139" t="s">
        <v>195</v>
      </c>
      <c r="E25" s="148">
        <v>56160</v>
      </c>
      <c r="G25" s="150"/>
    </row>
    <row r="26" spans="1:7" ht="18.75">
      <c r="A26" s="155"/>
      <c r="B26" s="148">
        <v>0</v>
      </c>
      <c r="C26" s="155" t="s">
        <v>289</v>
      </c>
      <c r="D26" s="159" t="s">
        <v>290</v>
      </c>
      <c r="E26" s="148">
        <v>0</v>
      </c>
      <c r="G26" s="150"/>
    </row>
    <row r="27" spans="1:7" ht="18.75">
      <c r="A27" s="155"/>
      <c r="B27" s="144">
        <v>0</v>
      </c>
      <c r="C27" s="149" t="s">
        <v>295</v>
      </c>
      <c r="D27" s="139" t="s">
        <v>288</v>
      </c>
      <c r="E27" s="148">
        <v>0</v>
      </c>
      <c r="G27" s="150"/>
    </row>
    <row r="28" spans="1:7" ht="18.75">
      <c r="A28" s="155"/>
      <c r="B28" s="144">
        <v>0</v>
      </c>
      <c r="C28" s="149" t="s">
        <v>299</v>
      </c>
      <c r="D28" s="139" t="s">
        <v>298</v>
      </c>
      <c r="E28" s="148">
        <v>0</v>
      </c>
      <c r="G28" s="150"/>
    </row>
    <row r="29" spans="1:10" ht="18.75">
      <c r="A29" s="155"/>
      <c r="B29" s="144"/>
      <c r="C29" s="149"/>
      <c r="D29" s="139"/>
      <c r="E29" s="148"/>
      <c r="J29" s="150"/>
    </row>
    <row r="30" spans="1:10" ht="18.75">
      <c r="A30" s="155"/>
      <c r="B30" s="144"/>
      <c r="C30" s="149"/>
      <c r="D30" s="139"/>
      <c r="E30" s="148"/>
      <c r="J30" s="150"/>
    </row>
    <row r="31" spans="1:5" ht="18.75">
      <c r="A31" s="155"/>
      <c r="B31" s="144"/>
      <c r="C31" s="149"/>
      <c r="D31" s="139"/>
      <c r="E31" s="148"/>
    </row>
    <row r="32" spans="1:5" ht="18.75">
      <c r="A32" s="155"/>
      <c r="B32" s="144"/>
      <c r="C32" s="149"/>
      <c r="D32" s="139"/>
      <c r="E32" s="148"/>
    </row>
    <row r="33" spans="1:5" ht="18.75">
      <c r="A33" s="155"/>
      <c r="B33" s="144"/>
      <c r="C33" s="149"/>
      <c r="D33" s="139"/>
      <c r="E33" s="148"/>
    </row>
    <row r="34" spans="1:5" ht="18.75">
      <c r="A34" s="155"/>
      <c r="B34" s="144"/>
      <c r="C34" s="149"/>
      <c r="D34" s="139"/>
      <c r="E34" s="148"/>
    </row>
    <row r="35" spans="1:5" ht="18.75">
      <c r="A35" s="155"/>
      <c r="B35" s="144"/>
      <c r="C35" s="149"/>
      <c r="D35" s="139"/>
      <c r="E35" s="148"/>
    </row>
    <row r="36" spans="1:5" ht="18.75">
      <c r="A36" s="155"/>
      <c r="B36" s="144"/>
      <c r="C36" s="149"/>
      <c r="D36" s="139"/>
      <c r="E36" s="148"/>
    </row>
    <row r="37" spans="1:5" ht="18.75">
      <c r="A37" s="155"/>
      <c r="B37" s="151"/>
      <c r="C37" s="149"/>
      <c r="D37" s="139"/>
      <c r="E37" s="152"/>
    </row>
    <row r="38" spans="1:5" ht="18.75">
      <c r="A38" s="155"/>
      <c r="B38" s="125">
        <f>SUM(B20:B37)</f>
        <v>3596791.58</v>
      </c>
      <c r="D38" s="139"/>
      <c r="E38" s="125">
        <f>SUM(E20:E37)</f>
        <v>94256.01000000001</v>
      </c>
    </row>
    <row r="39" spans="1:5" ht="18.75">
      <c r="A39" s="155"/>
      <c r="B39" s="160">
        <f>SUM(B38+B19)</f>
        <v>9926533.43</v>
      </c>
      <c r="C39" s="138" t="s">
        <v>48</v>
      </c>
      <c r="D39" s="161"/>
      <c r="E39" s="162">
        <f>SUM(E38+E19)</f>
        <v>694247.55</v>
      </c>
    </row>
    <row r="40" spans="1:5" ht="18.75">
      <c r="A40" s="155"/>
      <c r="B40" s="163"/>
      <c r="C40" s="164"/>
      <c r="D40" s="165"/>
      <c r="E40" s="163"/>
    </row>
    <row r="41" spans="1:5" ht="18.75">
      <c r="A41" s="155"/>
      <c r="B41" s="163"/>
      <c r="C41" s="164"/>
      <c r="D41" s="165"/>
      <c r="E41" s="163"/>
    </row>
    <row r="42" spans="1:5" ht="18.75">
      <c r="A42" s="155"/>
      <c r="B42" s="163"/>
      <c r="C42" s="164"/>
      <c r="D42" s="165"/>
      <c r="E42" s="163"/>
    </row>
    <row r="43" spans="1:5" ht="18.75">
      <c r="A43" s="155"/>
      <c r="B43" s="163"/>
      <c r="C43" s="164"/>
      <c r="D43" s="165"/>
      <c r="E43" s="163"/>
    </row>
    <row r="44" spans="1:5" ht="18.75">
      <c r="A44" s="155"/>
      <c r="B44" s="163"/>
      <c r="C44" s="164"/>
      <c r="D44" s="165"/>
      <c r="E44" s="163"/>
    </row>
    <row r="45" spans="1:5" ht="18.75">
      <c r="A45" s="242" t="s">
        <v>24</v>
      </c>
      <c r="B45" s="243"/>
      <c r="C45" s="136"/>
      <c r="D45" s="166"/>
      <c r="E45" s="167" t="s">
        <v>148</v>
      </c>
    </row>
    <row r="46" spans="1:5" ht="18.75">
      <c r="A46" s="137" t="s">
        <v>122</v>
      </c>
      <c r="B46" s="164" t="s">
        <v>25</v>
      </c>
      <c r="C46" s="138" t="s">
        <v>88</v>
      </c>
      <c r="D46" s="139" t="s">
        <v>26</v>
      </c>
      <c r="E46" s="140" t="s">
        <v>25</v>
      </c>
    </row>
    <row r="47" spans="1:5" ht="18.75">
      <c r="A47" s="168" t="s">
        <v>27</v>
      </c>
      <c r="B47" s="169" t="s">
        <v>27</v>
      </c>
      <c r="C47" s="170"/>
      <c r="D47" s="161" t="s">
        <v>28</v>
      </c>
      <c r="E47" s="168" t="s">
        <v>27</v>
      </c>
    </row>
    <row r="48" spans="1:5" ht="18.75">
      <c r="A48" s="144"/>
      <c r="B48" s="138"/>
      <c r="C48" s="147" t="s">
        <v>49</v>
      </c>
      <c r="D48" s="139"/>
      <c r="E48" s="140"/>
    </row>
    <row r="49" spans="1:9" ht="18.75">
      <c r="A49" s="144">
        <v>532110</v>
      </c>
      <c r="B49" s="148">
        <v>110000</v>
      </c>
      <c r="C49" s="158" t="s">
        <v>50</v>
      </c>
      <c r="D49" s="139" t="s">
        <v>120</v>
      </c>
      <c r="E49" s="148">
        <v>5520</v>
      </c>
      <c r="F49" s="150"/>
      <c r="G49" s="150"/>
      <c r="H49" s="150"/>
      <c r="I49" s="150"/>
    </row>
    <row r="50" spans="1:9" ht="18.75">
      <c r="A50" s="144">
        <v>213090</v>
      </c>
      <c r="B50" s="148">
        <v>28000</v>
      </c>
      <c r="C50" s="158" t="s">
        <v>50</v>
      </c>
      <c r="D50" s="139" t="s">
        <v>150</v>
      </c>
      <c r="E50" s="148">
        <v>4500</v>
      </c>
      <c r="F50" s="150"/>
      <c r="G50" s="150"/>
      <c r="I50" s="150"/>
    </row>
    <row r="51" spans="1:8" ht="18.75">
      <c r="A51" s="144">
        <v>3934800</v>
      </c>
      <c r="B51" s="148">
        <v>854038.06</v>
      </c>
      <c r="C51" s="158" t="s">
        <v>51</v>
      </c>
      <c r="D51" s="139" t="s">
        <v>12</v>
      </c>
      <c r="E51" s="148">
        <f>SUM(282260)</f>
        <v>282260</v>
      </c>
      <c r="F51" s="150"/>
      <c r="G51" s="150"/>
      <c r="H51" s="150"/>
    </row>
    <row r="52" spans="1:7" ht="18.75">
      <c r="A52" s="144">
        <v>180000</v>
      </c>
      <c r="B52" s="148">
        <v>45000</v>
      </c>
      <c r="C52" s="158" t="s">
        <v>52</v>
      </c>
      <c r="D52" s="139" t="s">
        <v>13</v>
      </c>
      <c r="E52" s="148">
        <f>SUM(15000)</f>
        <v>15000</v>
      </c>
      <c r="F52" s="150"/>
      <c r="G52" s="150"/>
    </row>
    <row r="53" spans="1:8" ht="18.75">
      <c r="A53" s="144">
        <v>724400</v>
      </c>
      <c r="B53" s="148">
        <v>99000</v>
      </c>
      <c r="C53" s="158" t="s">
        <v>178</v>
      </c>
      <c r="D53" s="139" t="s">
        <v>179</v>
      </c>
      <c r="E53" s="148">
        <f>SUM(33000)</f>
        <v>33000</v>
      </c>
      <c r="F53" s="150"/>
      <c r="G53" s="150"/>
      <c r="H53" s="150"/>
    </row>
    <row r="54" spans="1:8" ht="18.75">
      <c r="A54" s="144">
        <v>2051800</v>
      </c>
      <c r="B54" s="148">
        <v>526821.55</v>
      </c>
      <c r="C54" s="158" t="s">
        <v>185</v>
      </c>
      <c r="D54" s="139" t="s">
        <v>186</v>
      </c>
      <c r="E54" s="148">
        <v>170833</v>
      </c>
      <c r="G54" s="150"/>
      <c r="H54" s="150"/>
    </row>
    <row r="55" spans="1:8" ht="18.75">
      <c r="A55" s="144">
        <v>1200000</v>
      </c>
      <c r="B55" s="148">
        <v>0</v>
      </c>
      <c r="C55" s="158" t="s">
        <v>185</v>
      </c>
      <c r="D55" s="139" t="s">
        <v>334</v>
      </c>
      <c r="E55" s="148">
        <v>0</v>
      </c>
      <c r="G55" s="150"/>
      <c r="H55" s="150"/>
    </row>
    <row r="56" spans="1:8" ht="18.75">
      <c r="A56" s="144">
        <v>1723040</v>
      </c>
      <c r="B56" s="148">
        <f>SUM(327798+106215)</f>
        <v>434013</v>
      </c>
      <c r="C56" s="158" t="s">
        <v>53</v>
      </c>
      <c r="D56" s="139" t="s">
        <v>14</v>
      </c>
      <c r="E56" s="148">
        <v>106215</v>
      </c>
      <c r="G56" s="150"/>
      <c r="H56" s="150"/>
    </row>
    <row r="57" spans="1:7" ht="18.75">
      <c r="A57" s="144">
        <v>2076980</v>
      </c>
      <c r="B57" s="148">
        <f>SUM(137304)</f>
        <v>137304</v>
      </c>
      <c r="C57" s="158" t="s">
        <v>53</v>
      </c>
      <c r="D57" s="139" t="s">
        <v>180</v>
      </c>
      <c r="E57" s="148">
        <f>SUM(77470)</f>
        <v>77470</v>
      </c>
      <c r="G57" s="150"/>
    </row>
    <row r="58" spans="1:7" ht="18.75">
      <c r="A58" s="144">
        <v>625000</v>
      </c>
      <c r="B58" s="148">
        <f>SUM(4700+3000)</f>
        <v>7700</v>
      </c>
      <c r="C58" s="158" t="s">
        <v>54</v>
      </c>
      <c r="D58" s="139" t="s">
        <v>55</v>
      </c>
      <c r="E58" s="148">
        <v>3000</v>
      </c>
      <c r="G58" s="150"/>
    </row>
    <row r="59" spans="1:7" ht="18.75">
      <c r="A59" s="144">
        <v>1319220</v>
      </c>
      <c r="B59" s="148">
        <v>0</v>
      </c>
      <c r="C59" s="158" t="s">
        <v>54</v>
      </c>
      <c r="D59" s="139" t="s">
        <v>187</v>
      </c>
      <c r="E59" s="148">
        <v>0</v>
      </c>
      <c r="F59" s="150"/>
      <c r="G59" s="150"/>
    </row>
    <row r="60" spans="1:7" ht="18.75">
      <c r="A60" s="144">
        <v>229800</v>
      </c>
      <c r="B60" s="148">
        <v>52332.99</v>
      </c>
      <c r="C60" s="158" t="s">
        <v>56</v>
      </c>
      <c r="D60" s="139" t="s">
        <v>15</v>
      </c>
      <c r="E60" s="148">
        <v>19047.33</v>
      </c>
      <c r="G60" s="150"/>
    </row>
    <row r="61" spans="1:7" ht="18.75">
      <c r="A61" s="144">
        <v>165000</v>
      </c>
      <c r="B61" s="148">
        <v>30000</v>
      </c>
      <c r="C61" s="158" t="s">
        <v>44</v>
      </c>
      <c r="D61" s="139" t="s">
        <v>181</v>
      </c>
      <c r="E61" s="148">
        <v>30000</v>
      </c>
      <c r="F61" s="150"/>
      <c r="G61" s="150"/>
    </row>
    <row r="62" spans="1:7" ht="18.75">
      <c r="A62" s="144">
        <v>2044000</v>
      </c>
      <c r="B62" s="148">
        <v>893100</v>
      </c>
      <c r="C62" s="158" t="s">
        <v>44</v>
      </c>
      <c r="D62" s="139" t="s">
        <v>182</v>
      </c>
      <c r="E62" s="148">
        <v>0</v>
      </c>
      <c r="G62" s="150"/>
    </row>
    <row r="63" spans="1:7" ht="18.75">
      <c r="A63" s="144">
        <v>6000</v>
      </c>
      <c r="B63" s="148">
        <v>0</v>
      </c>
      <c r="C63" s="158" t="s">
        <v>57</v>
      </c>
      <c r="D63" s="139" t="s">
        <v>16</v>
      </c>
      <c r="E63" s="148">
        <v>0</v>
      </c>
      <c r="G63" s="150"/>
    </row>
    <row r="64" spans="1:7" ht="18.75">
      <c r="A64" s="144">
        <v>102700</v>
      </c>
      <c r="B64" s="148">
        <v>0</v>
      </c>
      <c r="C64" s="158" t="s">
        <v>57</v>
      </c>
      <c r="D64" s="139" t="s">
        <v>183</v>
      </c>
      <c r="E64" s="148">
        <v>0</v>
      </c>
      <c r="F64" s="150"/>
      <c r="G64" s="150"/>
    </row>
    <row r="65" spans="1:7" ht="18.75">
      <c r="A65" s="144">
        <v>0</v>
      </c>
      <c r="B65" s="148">
        <v>0</v>
      </c>
      <c r="C65" s="158" t="s">
        <v>58</v>
      </c>
      <c r="D65" s="139" t="s">
        <v>59</v>
      </c>
      <c r="E65" s="148">
        <v>0</v>
      </c>
      <c r="G65" s="150"/>
    </row>
    <row r="66" spans="1:7" ht="18.75">
      <c r="A66" s="144">
        <v>660000</v>
      </c>
      <c r="B66" s="148">
        <v>0</v>
      </c>
      <c r="C66" s="158" t="s">
        <v>58</v>
      </c>
      <c r="D66" s="139" t="s">
        <v>151</v>
      </c>
      <c r="E66" s="148">
        <v>0</v>
      </c>
      <c r="F66" s="150"/>
      <c r="G66" s="150"/>
    </row>
    <row r="67" spans="1:7" ht="18.75">
      <c r="A67" s="144">
        <v>12000</v>
      </c>
      <c r="B67" s="148">
        <v>0</v>
      </c>
      <c r="C67" s="158" t="s">
        <v>20</v>
      </c>
      <c r="D67" s="139" t="s">
        <v>311</v>
      </c>
      <c r="E67" s="148">
        <v>0</v>
      </c>
      <c r="G67" s="150"/>
    </row>
    <row r="68" spans="1:7" ht="18.75">
      <c r="A68" s="144">
        <v>0</v>
      </c>
      <c r="B68" s="186" t="s">
        <v>310</v>
      </c>
      <c r="C68" s="158" t="s">
        <v>20</v>
      </c>
      <c r="D68" s="139" t="s">
        <v>312</v>
      </c>
      <c r="E68" s="148">
        <v>0</v>
      </c>
      <c r="G68" s="150"/>
    </row>
    <row r="69" spans="1:8" ht="19.5" thickBot="1">
      <c r="A69" s="153">
        <f>SUM(A49:A68)</f>
        <v>17799940</v>
      </c>
      <c r="B69" s="154">
        <f>SUM(B49:B68)</f>
        <v>3217309.6000000006</v>
      </c>
      <c r="D69" s="139"/>
      <c r="E69" s="154">
        <f>SUM(E49:E68)</f>
        <v>746845.33</v>
      </c>
      <c r="F69" s="150"/>
      <c r="G69" s="150"/>
      <c r="H69" s="150"/>
    </row>
    <row r="70" spans="1:7" ht="19.5" thickTop="1">
      <c r="A70" s="191"/>
      <c r="B70" s="146">
        <v>500008.22</v>
      </c>
      <c r="C70" s="158" t="s">
        <v>60</v>
      </c>
      <c r="D70" s="139" t="s">
        <v>61</v>
      </c>
      <c r="E70" s="146">
        <v>17700</v>
      </c>
      <c r="G70" s="150"/>
    </row>
    <row r="71" spans="1:7" ht="18.75">
      <c r="A71" s="172"/>
      <c r="B71" s="148">
        <v>0</v>
      </c>
      <c r="C71" s="158" t="s">
        <v>279</v>
      </c>
      <c r="D71" s="139" t="s">
        <v>280</v>
      </c>
      <c r="E71" s="148">
        <v>0</v>
      </c>
      <c r="F71" s="150"/>
      <c r="G71" s="150"/>
    </row>
    <row r="72" spans="1:7" ht="18.75">
      <c r="A72" s="172"/>
      <c r="B72" s="148">
        <v>0</v>
      </c>
      <c r="C72" s="158" t="s">
        <v>284</v>
      </c>
      <c r="D72" s="139" t="s">
        <v>281</v>
      </c>
      <c r="E72" s="148">
        <v>0</v>
      </c>
      <c r="F72" s="150"/>
      <c r="G72" s="150"/>
    </row>
    <row r="73" spans="1:7" ht="18.75">
      <c r="A73" s="155"/>
      <c r="B73" s="148">
        <v>698005.97</v>
      </c>
      <c r="C73" s="158" t="s">
        <v>176</v>
      </c>
      <c r="D73" s="139" t="s">
        <v>192</v>
      </c>
      <c r="E73" s="148">
        <v>0</v>
      </c>
      <c r="G73" s="150"/>
    </row>
    <row r="74" spans="1:10" ht="18.75">
      <c r="A74" s="155"/>
      <c r="B74" s="148">
        <v>127214.98</v>
      </c>
      <c r="C74" s="158" t="s">
        <v>283</v>
      </c>
      <c r="D74" s="139" t="s">
        <v>46</v>
      </c>
      <c r="E74" s="148">
        <v>1726.68</v>
      </c>
      <c r="G74" s="150"/>
      <c r="J74" s="150"/>
    </row>
    <row r="75" spans="1:7" ht="18.75">
      <c r="A75" s="155"/>
      <c r="B75" s="148">
        <v>251000</v>
      </c>
      <c r="C75" s="155" t="s">
        <v>10</v>
      </c>
      <c r="D75" s="139" t="s">
        <v>47</v>
      </c>
      <c r="E75" s="171">
        <v>71400</v>
      </c>
      <c r="G75" s="150"/>
    </row>
    <row r="76" spans="1:7" ht="18.75">
      <c r="A76" s="172"/>
      <c r="B76" s="148">
        <v>0</v>
      </c>
      <c r="C76" s="155" t="s">
        <v>189</v>
      </c>
      <c r="D76" s="139" t="s">
        <v>190</v>
      </c>
      <c r="E76" s="171">
        <v>0</v>
      </c>
      <c r="G76" s="150"/>
    </row>
    <row r="77" spans="1:7" ht="18.75">
      <c r="A77" s="155"/>
      <c r="B77" s="148">
        <v>505800</v>
      </c>
      <c r="C77" s="155" t="s">
        <v>285</v>
      </c>
      <c r="D77" s="139" t="s">
        <v>11</v>
      </c>
      <c r="E77" s="171">
        <v>0</v>
      </c>
      <c r="G77" s="150"/>
    </row>
    <row r="78" spans="1:7" ht="18.75">
      <c r="A78" s="155"/>
      <c r="B78" s="148">
        <v>1458100</v>
      </c>
      <c r="C78" s="149" t="s">
        <v>302</v>
      </c>
      <c r="D78" s="139" t="s">
        <v>301</v>
      </c>
      <c r="E78" s="171">
        <f>SUM(484400+36000)</f>
        <v>520400</v>
      </c>
      <c r="G78" s="150"/>
    </row>
    <row r="79" spans="1:7" ht="18.75">
      <c r="A79" s="155"/>
      <c r="B79" s="148">
        <v>0</v>
      </c>
      <c r="C79" s="149" t="s">
        <v>303</v>
      </c>
      <c r="D79" s="139" t="s">
        <v>304</v>
      </c>
      <c r="E79" s="171">
        <v>0</v>
      </c>
      <c r="G79" s="150"/>
    </row>
    <row r="80" spans="1:7" ht="18.75">
      <c r="A80" s="155"/>
      <c r="B80" s="148">
        <v>0</v>
      </c>
      <c r="C80" s="155" t="s">
        <v>289</v>
      </c>
      <c r="D80" s="139" t="s">
        <v>290</v>
      </c>
      <c r="E80" s="171">
        <v>0</v>
      </c>
      <c r="G80" s="150"/>
    </row>
    <row r="81" spans="1:7" ht="18.75">
      <c r="A81" s="155"/>
      <c r="B81" s="148">
        <v>0</v>
      </c>
      <c r="C81" s="149" t="s">
        <v>299</v>
      </c>
      <c r="D81" s="139" t="s">
        <v>298</v>
      </c>
      <c r="E81" s="148"/>
      <c r="G81" s="150"/>
    </row>
    <row r="82" spans="1:10" ht="18.75">
      <c r="A82" s="155"/>
      <c r="B82" s="148">
        <v>0</v>
      </c>
      <c r="C82" s="155" t="s">
        <v>295</v>
      </c>
      <c r="D82" s="139" t="s">
        <v>288</v>
      </c>
      <c r="E82" s="171">
        <v>0</v>
      </c>
      <c r="G82" s="150"/>
      <c r="J82" s="150"/>
    </row>
    <row r="83" spans="1:11" ht="18.75">
      <c r="A83" s="155"/>
      <c r="B83" s="125">
        <f>SUM(B70:B82)</f>
        <v>3540129.17</v>
      </c>
      <c r="C83" s="155"/>
      <c r="D83" s="139"/>
      <c r="E83" s="125">
        <f>SUM(E70+E71+E72+E73+E74+E75+E76+E77+E78+E79+E80+E81+E82)</f>
        <v>611226.6799999999</v>
      </c>
      <c r="H83" s="150"/>
      <c r="J83" s="150"/>
      <c r="K83" s="150"/>
    </row>
    <row r="84" spans="1:11" ht="18.75">
      <c r="A84" s="155"/>
      <c r="B84" s="125">
        <f>SUM(B83+B69)</f>
        <v>6757438.7700000005</v>
      </c>
      <c r="C84" s="164" t="s">
        <v>62</v>
      </c>
      <c r="D84" s="139"/>
      <c r="E84" s="174">
        <f>SUM(E69+E83)</f>
        <v>1358072.0099999998</v>
      </c>
      <c r="J84" s="150"/>
      <c r="K84" s="150"/>
    </row>
    <row r="85" spans="1:11" ht="18.75">
      <c r="A85" s="155"/>
      <c r="B85" s="148"/>
      <c r="C85" s="164" t="s">
        <v>63</v>
      </c>
      <c r="D85" s="139"/>
      <c r="E85" s="171"/>
      <c r="J85" s="150"/>
      <c r="K85" s="150"/>
    </row>
    <row r="86" spans="1:5" ht="18.75">
      <c r="A86" s="155"/>
      <c r="B86" s="148">
        <f>SUM(B39-B84)</f>
        <v>3169094.659999999</v>
      </c>
      <c r="C86" s="164" t="s">
        <v>64</v>
      </c>
      <c r="D86" s="139"/>
      <c r="E86" s="171">
        <f>SUM(E39-E84)</f>
        <v>-663824.4599999997</v>
      </c>
    </row>
    <row r="87" spans="1:10" ht="18.75">
      <c r="A87" s="155"/>
      <c r="B87" s="148"/>
      <c r="C87" s="164" t="s">
        <v>65</v>
      </c>
      <c r="D87" s="139"/>
      <c r="E87" s="173"/>
      <c r="J87" s="150"/>
    </row>
    <row r="88" spans="2:11" ht="19.5" thickBot="1">
      <c r="B88" s="154">
        <f>SUM(B9+B86)</f>
        <v>24925715.01</v>
      </c>
      <c r="C88" s="164" t="s">
        <v>66</v>
      </c>
      <c r="D88" s="139"/>
      <c r="E88" s="175">
        <f>SUM(E9+E86)</f>
        <v>24925715.009999998</v>
      </c>
      <c r="F88" s="150"/>
      <c r="G88" s="150"/>
      <c r="J88" s="150"/>
      <c r="K88" s="131"/>
    </row>
    <row r="89" spans="2:11" ht="19.5" thickTop="1">
      <c r="B89" s="176"/>
      <c r="C89" s="164"/>
      <c r="E89" s="176"/>
      <c r="F89" s="220"/>
      <c r="G89" s="150"/>
      <c r="K89" s="131"/>
    </row>
    <row r="90" spans="2:11" ht="18.75">
      <c r="B90" s="176"/>
      <c r="C90" s="164"/>
      <c r="E90" s="176"/>
      <c r="F90" s="150"/>
      <c r="G90" s="150"/>
      <c r="K90" s="150"/>
    </row>
    <row r="91" spans="2:11" ht="18.75">
      <c r="B91" s="176"/>
      <c r="C91" s="164"/>
      <c r="E91" s="176"/>
      <c r="G91" s="150"/>
      <c r="K91" s="178"/>
    </row>
    <row r="92" spans="1:6" ht="18.75">
      <c r="A92" s="111"/>
      <c r="B92" s="111"/>
      <c r="C92" s="111"/>
      <c r="D92" s="111"/>
      <c r="E92" s="119"/>
      <c r="F92" s="150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1"/>
  <sheetViews>
    <sheetView tabSelected="1" view="pageBreakPreview" zoomScaleSheetLayoutView="100" zoomScalePageLayoutView="0" workbookViewId="0" topLeftCell="A79">
      <selection activeCell="V110" sqref="V110:W111"/>
    </sheetView>
  </sheetViews>
  <sheetFormatPr defaultColWidth="9.140625" defaultRowHeight="12.75"/>
  <cols>
    <col min="1" max="1" width="8.7109375" style="14" customWidth="1"/>
    <col min="2" max="2" width="7.421875" style="96" customWidth="1"/>
    <col min="3" max="3" width="7.57421875" style="13" customWidth="1"/>
    <col min="4" max="4" width="7.00390625" style="13" customWidth="1"/>
    <col min="5" max="5" width="6.28125" style="13" customWidth="1"/>
    <col min="6" max="6" width="8.00390625" style="13" customWidth="1"/>
    <col min="7" max="7" width="7.57421875" style="13" customWidth="1"/>
    <col min="8" max="8" width="7.421875" style="13" customWidth="1"/>
    <col min="9" max="9" width="7.7109375" style="96" customWidth="1"/>
    <col min="10" max="10" width="6.7109375" style="13" customWidth="1"/>
    <col min="11" max="12" width="6.00390625" style="13" customWidth="1"/>
    <col min="13" max="13" width="6.7109375" style="13" customWidth="1"/>
    <col min="14" max="14" width="7.421875" style="13" customWidth="1"/>
    <col min="15" max="15" width="6.8515625" style="13" customWidth="1"/>
    <col min="16" max="16" width="7.00390625" style="96" customWidth="1"/>
    <col min="17" max="17" width="7.57421875" style="13" customWidth="1"/>
    <col min="18" max="18" width="6.8515625" style="13" customWidth="1"/>
    <col min="19" max="19" width="7.421875" style="13" customWidth="1"/>
    <col min="20" max="20" width="10.28125" style="225" customWidth="1"/>
    <col min="21" max="21" width="9.140625" style="59" customWidth="1"/>
    <col min="22" max="22" width="9.57421875" style="59" customWidth="1"/>
    <col min="23" max="16384" width="9.140625" style="13" customWidth="1"/>
  </cols>
  <sheetData>
    <row r="1" spans="1:20" ht="16.5">
      <c r="A1" s="247" t="s">
        <v>203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0" ht="16.5">
      <c r="A2" s="247" t="s">
        <v>282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0" ht="16.5">
      <c r="A3" s="250" t="s">
        <v>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</row>
    <row r="4" spans="1:20" ht="16.5">
      <c r="A4" s="89" t="s">
        <v>204</v>
      </c>
      <c r="B4" s="248" t="s">
        <v>205</v>
      </c>
      <c r="C4" s="249"/>
      <c r="D4" s="248" t="s">
        <v>206</v>
      </c>
      <c r="E4" s="249"/>
      <c r="F4" s="248" t="s">
        <v>207</v>
      </c>
      <c r="G4" s="249"/>
      <c r="H4" s="90" t="s">
        <v>208</v>
      </c>
      <c r="I4" s="93" t="s">
        <v>209</v>
      </c>
      <c r="J4" s="248" t="s">
        <v>210</v>
      </c>
      <c r="K4" s="249"/>
      <c r="L4" s="248" t="s">
        <v>211</v>
      </c>
      <c r="M4" s="249"/>
      <c r="N4" s="248" t="s">
        <v>212</v>
      </c>
      <c r="O4" s="249"/>
      <c r="P4" s="91"/>
      <c r="Q4" s="248" t="s">
        <v>213</v>
      </c>
      <c r="R4" s="249"/>
      <c r="S4" s="11" t="s">
        <v>214</v>
      </c>
      <c r="T4" s="251" t="s">
        <v>215</v>
      </c>
    </row>
    <row r="5" spans="1:20" ht="16.5">
      <c r="A5" s="92" t="s">
        <v>86</v>
      </c>
      <c r="B5" s="93" t="s">
        <v>216</v>
      </c>
      <c r="C5" s="11" t="s">
        <v>217</v>
      </c>
      <c r="D5" s="11" t="s">
        <v>218</v>
      </c>
      <c r="E5" s="11" t="s">
        <v>219</v>
      </c>
      <c r="F5" s="11" t="s">
        <v>220</v>
      </c>
      <c r="G5" s="11" t="s">
        <v>221</v>
      </c>
      <c r="H5" s="11" t="s">
        <v>222</v>
      </c>
      <c r="I5" s="93" t="s">
        <v>223</v>
      </c>
      <c r="J5" s="11" t="s">
        <v>224</v>
      </c>
      <c r="K5" s="11" t="s">
        <v>225</v>
      </c>
      <c r="L5" s="11" t="s">
        <v>330</v>
      </c>
      <c r="M5" s="11" t="s">
        <v>226</v>
      </c>
      <c r="N5" s="11" t="s">
        <v>227</v>
      </c>
      <c r="O5" s="11" t="s">
        <v>228</v>
      </c>
      <c r="P5" s="93" t="s">
        <v>229</v>
      </c>
      <c r="Q5" s="11" t="s">
        <v>230</v>
      </c>
      <c r="R5" s="11" t="s">
        <v>231</v>
      </c>
      <c r="S5" s="11" t="s">
        <v>232</v>
      </c>
      <c r="T5" s="252"/>
    </row>
    <row r="6" spans="1:22" s="96" customFormat="1" ht="14.25">
      <c r="A6" s="94" t="s">
        <v>233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>
        <f>SUM(5520+4500)</f>
        <v>10020</v>
      </c>
      <c r="T6" s="222">
        <f>SUM(S6)</f>
        <v>10020</v>
      </c>
      <c r="U6" s="105"/>
      <c r="V6" s="105"/>
    </row>
    <row r="7" spans="1:22" s="96" customFormat="1" ht="14.25">
      <c r="A7" s="93" t="s">
        <v>234</v>
      </c>
      <c r="B7" s="95">
        <v>0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/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222">
        <f>SUM(B7:S7)</f>
        <v>0</v>
      </c>
      <c r="U7" s="105"/>
      <c r="V7" s="105"/>
    </row>
    <row r="8" spans="1:22" s="96" customFormat="1" ht="14.25">
      <c r="A8" s="93" t="s">
        <v>296</v>
      </c>
      <c r="B8" s="95">
        <v>0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/>
      <c r="I8" s="95">
        <v>0</v>
      </c>
      <c r="J8" s="95">
        <v>0</v>
      </c>
      <c r="K8" s="95">
        <v>0</v>
      </c>
      <c r="L8" s="95"/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/>
      <c r="T8" s="222">
        <f>SUM(B8:S8)</f>
        <v>0</v>
      </c>
      <c r="U8" s="105"/>
      <c r="V8" s="105"/>
    </row>
    <row r="9" spans="1:22" s="96" customFormat="1" ht="14.25">
      <c r="A9" s="93" t="s">
        <v>235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/>
      <c r="I9" s="95">
        <v>0</v>
      </c>
      <c r="J9" s="95">
        <v>0</v>
      </c>
      <c r="K9" s="95">
        <v>0</v>
      </c>
      <c r="L9" s="95"/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222">
        <f>SUM(B9:S9)</f>
        <v>0</v>
      </c>
      <c r="U9" s="105"/>
      <c r="V9" s="105"/>
    </row>
    <row r="10" spans="1:22" s="96" customFormat="1" ht="14.25">
      <c r="A10" s="97" t="s">
        <v>236</v>
      </c>
      <c r="B10" s="95">
        <f aca="true" t="shared" si="0" ref="B10:H10">SUM(B7:B9)</f>
        <v>0</v>
      </c>
      <c r="C10" s="95">
        <f t="shared" si="0"/>
        <v>0</v>
      </c>
      <c r="D10" s="95">
        <f t="shared" si="0"/>
        <v>0</v>
      </c>
      <c r="E10" s="95">
        <f t="shared" si="0"/>
        <v>0</v>
      </c>
      <c r="F10" s="95">
        <f t="shared" si="0"/>
        <v>0</v>
      </c>
      <c r="G10" s="95">
        <f t="shared" si="0"/>
        <v>0</v>
      </c>
      <c r="H10" s="95">
        <f t="shared" si="0"/>
        <v>0</v>
      </c>
      <c r="I10" s="95">
        <v>0</v>
      </c>
      <c r="J10" s="95">
        <f aca="true" t="shared" si="1" ref="J10:R10">SUM(J7:J9)</f>
        <v>0</v>
      </c>
      <c r="K10" s="95">
        <f t="shared" si="1"/>
        <v>0</v>
      </c>
      <c r="L10" s="95"/>
      <c r="M10" s="95">
        <f t="shared" si="1"/>
        <v>0</v>
      </c>
      <c r="N10" s="95">
        <f t="shared" si="1"/>
        <v>0</v>
      </c>
      <c r="O10" s="95">
        <f t="shared" si="1"/>
        <v>0</v>
      </c>
      <c r="P10" s="95">
        <f t="shared" si="1"/>
        <v>0</v>
      </c>
      <c r="Q10" s="95">
        <f t="shared" si="1"/>
        <v>0</v>
      </c>
      <c r="R10" s="95">
        <f t="shared" si="1"/>
        <v>0</v>
      </c>
      <c r="S10" s="95">
        <f>SUM(S6:S9)</f>
        <v>10020</v>
      </c>
      <c r="T10" s="222">
        <f>SUM(B10:S10)</f>
        <v>10020</v>
      </c>
      <c r="U10" s="105"/>
      <c r="V10" s="105"/>
    </row>
    <row r="11" spans="1:22" s="96" customFormat="1" ht="14.25">
      <c r="A11" s="97" t="s">
        <v>237</v>
      </c>
      <c r="B11" s="95">
        <v>0</v>
      </c>
      <c r="C11" s="95">
        <v>0</v>
      </c>
      <c r="D11" s="95"/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/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f>SUM(106340+21640+10020)</f>
        <v>138000</v>
      </c>
      <c r="T11" s="222">
        <f>SUM(B11:S11)</f>
        <v>138000</v>
      </c>
      <c r="U11" s="105"/>
      <c r="V11" s="105"/>
    </row>
    <row r="12" spans="1:22" s="96" customFormat="1" ht="14.25">
      <c r="A12" s="94" t="s">
        <v>238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222"/>
      <c r="U12" s="105"/>
      <c r="V12" s="105"/>
    </row>
    <row r="13" spans="1:22" s="96" customFormat="1" ht="14.25">
      <c r="A13" s="93">
        <v>101</v>
      </c>
      <c r="B13" s="95">
        <f>SUM(42840+7200)</f>
        <v>50040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/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222">
        <f>SUM(B13:S13)</f>
        <v>50040</v>
      </c>
      <c r="U13" s="105"/>
      <c r="V13" s="105"/>
    </row>
    <row r="14" spans="1:22" s="96" customFormat="1" ht="14.25">
      <c r="A14" s="93">
        <v>102</v>
      </c>
      <c r="B14" s="95">
        <f>SUM(66990)</f>
        <v>66990</v>
      </c>
      <c r="C14" s="95">
        <f>SUM(53010)</f>
        <v>53010</v>
      </c>
      <c r="D14" s="95">
        <v>0</v>
      </c>
      <c r="E14" s="95">
        <v>0</v>
      </c>
      <c r="F14" s="95">
        <v>14300</v>
      </c>
      <c r="G14" s="95">
        <v>0</v>
      </c>
      <c r="H14" s="95">
        <v>0</v>
      </c>
      <c r="I14" s="95">
        <v>0</v>
      </c>
      <c r="J14" s="95">
        <v>31200</v>
      </c>
      <c r="K14" s="95">
        <v>0</v>
      </c>
      <c r="L14" s="95">
        <v>11920</v>
      </c>
      <c r="M14" s="95">
        <v>0</v>
      </c>
      <c r="N14" s="95">
        <v>0</v>
      </c>
      <c r="O14" s="95">
        <v>0</v>
      </c>
      <c r="P14" s="95">
        <v>0</v>
      </c>
      <c r="Q14" s="95">
        <v>14300</v>
      </c>
      <c r="R14" s="95">
        <v>0</v>
      </c>
      <c r="S14" s="95">
        <v>0</v>
      </c>
      <c r="T14" s="222">
        <f>SUM(B14:S14)</f>
        <v>191720</v>
      </c>
      <c r="U14" s="105"/>
      <c r="V14" s="105"/>
    </row>
    <row r="15" spans="1:22" s="96" customFormat="1" ht="14.25">
      <c r="A15" s="93">
        <v>103</v>
      </c>
      <c r="B15" s="95">
        <f>SUM(4210+7310+3510)</f>
        <v>15030</v>
      </c>
      <c r="C15" s="95">
        <f>SUM(1480+10070)</f>
        <v>11550</v>
      </c>
      <c r="D15" s="95">
        <v>0</v>
      </c>
      <c r="E15" s="95">
        <v>0</v>
      </c>
      <c r="F15" s="95">
        <v>1470</v>
      </c>
      <c r="G15" s="95">
        <v>0</v>
      </c>
      <c r="H15" s="95">
        <v>0</v>
      </c>
      <c r="I15" s="95">
        <v>0</v>
      </c>
      <c r="J15" s="95">
        <f>SUM(160+1500)</f>
        <v>1660</v>
      </c>
      <c r="K15" s="95">
        <v>0</v>
      </c>
      <c r="L15" s="95">
        <f>SUM(420+2660)</f>
        <v>3080</v>
      </c>
      <c r="M15" s="95">
        <v>0</v>
      </c>
      <c r="N15" s="95">
        <v>0</v>
      </c>
      <c r="O15" s="95">
        <v>0</v>
      </c>
      <c r="P15" s="95">
        <v>0</v>
      </c>
      <c r="Q15" s="95">
        <v>700</v>
      </c>
      <c r="R15" s="95">
        <v>0</v>
      </c>
      <c r="S15" s="95">
        <v>0</v>
      </c>
      <c r="T15" s="222">
        <f>SUM(B15:S15)</f>
        <v>33490</v>
      </c>
      <c r="U15" s="105"/>
      <c r="V15" s="105"/>
    </row>
    <row r="16" spans="1:22" s="96" customFormat="1" ht="14.25">
      <c r="A16" s="93">
        <v>105</v>
      </c>
      <c r="B16" s="95">
        <f>SUM(3500+3510)</f>
        <v>7010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/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222">
        <v>0</v>
      </c>
      <c r="U16" s="105"/>
      <c r="V16" s="105"/>
    </row>
    <row r="17" spans="1:22" s="96" customFormat="1" ht="14.25">
      <c r="A17" s="93">
        <v>106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/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222">
        <v>0</v>
      </c>
      <c r="U17" s="105"/>
      <c r="V17" s="105"/>
    </row>
    <row r="18" spans="1:22" s="96" customFormat="1" ht="14.25">
      <c r="A18" s="97" t="s">
        <v>236</v>
      </c>
      <c r="B18" s="95">
        <f aca="true" t="shared" si="2" ref="B18:S18">SUM(B13:B17)</f>
        <v>139070</v>
      </c>
      <c r="C18" s="95">
        <f t="shared" si="2"/>
        <v>64560</v>
      </c>
      <c r="D18" s="95">
        <f t="shared" si="2"/>
        <v>0</v>
      </c>
      <c r="E18" s="95">
        <f t="shared" si="2"/>
        <v>0</v>
      </c>
      <c r="F18" s="95">
        <f t="shared" si="2"/>
        <v>15770</v>
      </c>
      <c r="G18" s="95">
        <f t="shared" si="2"/>
        <v>0</v>
      </c>
      <c r="H18" s="95">
        <f t="shared" si="2"/>
        <v>0</v>
      </c>
      <c r="I18" s="95">
        <f t="shared" si="2"/>
        <v>0</v>
      </c>
      <c r="J18" s="95">
        <f>SUM(J13:J17)</f>
        <v>32860</v>
      </c>
      <c r="K18" s="95">
        <f t="shared" si="2"/>
        <v>0</v>
      </c>
      <c r="L18" s="95">
        <f>SUM(L13:L17)</f>
        <v>15000</v>
      </c>
      <c r="M18" s="95">
        <f t="shared" si="2"/>
        <v>0</v>
      </c>
      <c r="N18" s="95">
        <f t="shared" si="2"/>
        <v>0</v>
      </c>
      <c r="O18" s="95">
        <f t="shared" si="2"/>
        <v>0</v>
      </c>
      <c r="P18" s="95">
        <f t="shared" si="2"/>
        <v>0</v>
      </c>
      <c r="Q18" s="95">
        <f>SUM(Q13:Q17)</f>
        <v>15000</v>
      </c>
      <c r="R18" s="95">
        <f t="shared" si="2"/>
        <v>0</v>
      </c>
      <c r="S18" s="95">
        <f t="shared" si="2"/>
        <v>0</v>
      </c>
      <c r="T18" s="222">
        <f>SUM(B18:S18)</f>
        <v>282260</v>
      </c>
      <c r="U18" s="105"/>
      <c r="V18" s="105"/>
    </row>
    <row r="19" spans="1:22" s="96" customFormat="1" ht="14.25">
      <c r="A19" s="97" t="s">
        <v>237</v>
      </c>
      <c r="B19" s="95">
        <f>SUM(146328.06+139070+139070)</f>
        <v>424468.06</v>
      </c>
      <c r="C19" s="95">
        <f>SUM(64560+64560+64560)</f>
        <v>193680</v>
      </c>
      <c r="D19" s="95">
        <v>0</v>
      </c>
      <c r="E19" s="95">
        <v>0</v>
      </c>
      <c r="F19" s="95">
        <f>SUM(15770+15770+15770)</f>
        <v>47310</v>
      </c>
      <c r="G19" s="95">
        <v>0</v>
      </c>
      <c r="H19" s="95">
        <v>0</v>
      </c>
      <c r="I19" s="95">
        <v>0</v>
      </c>
      <c r="J19" s="95">
        <f>SUM(32860+32860+32860)</f>
        <v>98580</v>
      </c>
      <c r="K19" s="95">
        <v>0</v>
      </c>
      <c r="L19" s="95">
        <f>SUM(15000+15000+15000)</f>
        <v>45000</v>
      </c>
      <c r="M19" s="95">
        <v>0</v>
      </c>
      <c r="N19" s="95">
        <v>0</v>
      </c>
      <c r="O19" s="95">
        <v>0</v>
      </c>
      <c r="P19" s="95">
        <v>0</v>
      </c>
      <c r="Q19" s="95">
        <f>SUM(15000+15000+15000)</f>
        <v>45000</v>
      </c>
      <c r="R19" s="95">
        <v>0</v>
      </c>
      <c r="S19" s="95">
        <v>0</v>
      </c>
      <c r="T19" s="222">
        <f>SUM(B19:S19)</f>
        <v>854038.06</v>
      </c>
      <c r="U19" s="105"/>
      <c r="V19" s="105"/>
    </row>
    <row r="20" spans="1:22" s="96" customFormat="1" ht="14.25">
      <c r="A20" s="94" t="s">
        <v>239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222"/>
      <c r="U20" s="105"/>
      <c r="V20" s="105"/>
    </row>
    <row r="21" spans="1:22" s="96" customFormat="1" ht="14.25">
      <c r="A21" s="93" t="s">
        <v>240</v>
      </c>
      <c r="B21" s="95">
        <v>0</v>
      </c>
      <c r="C21" s="95">
        <v>11180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/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222">
        <f>SUM(B21:S21)</f>
        <v>11180</v>
      </c>
      <c r="U21" s="105"/>
      <c r="V21" s="105"/>
    </row>
    <row r="22" spans="1:22" s="96" customFormat="1" ht="14.25">
      <c r="A22" s="93">
        <v>122</v>
      </c>
      <c r="B22" s="95">
        <v>0</v>
      </c>
      <c r="C22" s="95">
        <v>3820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/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222">
        <f>SUM(B22:S22)</f>
        <v>3820</v>
      </c>
      <c r="U22" s="105"/>
      <c r="V22" s="105"/>
    </row>
    <row r="23" spans="1:22" s="96" customFormat="1" ht="14.25">
      <c r="A23" s="97" t="s">
        <v>236</v>
      </c>
      <c r="B23" s="95">
        <f>SUM(B21:B22)</f>
        <v>0</v>
      </c>
      <c r="C23" s="95">
        <f>SUM(C21:C22)</f>
        <v>15000</v>
      </c>
      <c r="D23" s="95">
        <f>SUM(D21:D22)</f>
        <v>0</v>
      </c>
      <c r="E23" s="95">
        <f aca="true" t="shared" si="3" ref="E23:S23">SUM(E21:E22)</f>
        <v>0</v>
      </c>
      <c r="F23" s="95">
        <f t="shared" si="3"/>
        <v>0</v>
      </c>
      <c r="G23" s="95">
        <f t="shared" si="3"/>
        <v>0</v>
      </c>
      <c r="H23" s="95">
        <f t="shared" si="3"/>
        <v>0</v>
      </c>
      <c r="I23" s="95">
        <f t="shared" si="3"/>
        <v>0</v>
      </c>
      <c r="J23" s="95">
        <f t="shared" si="3"/>
        <v>0</v>
      </c>
      <c r="K23" s="95">
        <f t="shared" si="3"/>
        <v>0</v>
      </c>
      <c r="L23" s="95"/>
      <c r="M23" s="95">
        <f t="shared" si="3"/>
        <v>0</v>
      </c>
      <c r="N23" s="95">
        <f t="shared" si="3"/>
        <v>0</v>
      </c>
      <c r="O23" s="95">
        <f t="shared" si="3"/>
        <v>0</v>
      </c>
      <c r="P23" s="95">
        <f t="shared" si="3"/>
        <v>0</v>
      </c>
      <c r="Q23" s="95">
        <f t="shared" si="3"/>
        <v>0</v>
      </c>
      <c r="R23" s="95">
        <f t="shared" si="3"/>
        <v>0</v>
      </c>
      <c r="S23" s="95">
        <f t="shared" si="3"/>
        <v>0</v>
      </c>
      <c r="T23" s="222">
        <f>SUM(B23:S23)</f>
        <v>15000</v>
      </c>
      <c r="U23" s="105"/>
      <c r="V23" s="105"/>
    </row>
    <row r="24" spans="1:22" s="96" customFormat="1" ht="14.25">
      <c r="A24" s="97" t="s">
        <v>237</v>
      </c>
      <c r="B24" s="95">
        <v>0</v>
      </c>
      <c r="C24" s="95">
        <f>SUM(15000+15000+15000)</f>
        <v>45000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/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222">
        <f>SUM(B24:S24)</f>
        <v>45000</v>
      </c>
      <c r="U24" s="105"/>
      <c r="V24" s="105"/>
    </row>
    <row r="25" spans="1:22" s="96" customFormat="1" ht="14.25">
      <c r="A25" s="94" t="s">
        <v>241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222"/>
      <c r="U25" s="105"/>
      <c r="V25" s="105"/>
    </row>
    <row r="26" spans="1:22" s="96" customFormat="1" ht="14.25">
      <c r="A26" s="93" t="s">
        <v>242</v>
      </c>
      <c r="B26" s="95">
        <f>SUM(6270)</f>
        <v>6270</v>
      </c>
      <c r="C26" s="95">
        <v>6530</v>
      </c>
      <c r="D26" s="95">
        <v>0</v>
      </c>
      <c r="E26" s="95">
        <v>0</v>
      </c>
      <c r="F26" s="95">
        <v>140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6530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222">
        <f>SUM(B26:S26)</f>
        <v>19470</v>
      </c>
      <c r="U26" s="105"/>
      <c r="V26" s="105"/>
    </row>
    <row r="27" spans="1:22" s="96" customFormat="1" ht="14.25">
      <c r="A27" s="93">
        <v>132</v>
      </c>
      <c r="B27" s="95">
        <v>2730</v>
      </c>
      <c r="C27" s="95">
        <v>2470</v>
      </c>
      <c r="D27" s="95">
        <v>0</v>
      </c>
      <c r="E27" s="95">
        <v>0</v>
      </c>
      <c r="F27" s="95">
        <f>SUM(5420+440)</f>
        <v>5860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2470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222">
        <f>SUM(B27:S27)</f>
        <v>13530</v>
      </c>
      <c r="U27" s="105"/>
      <c r="V27" s="105"/>
    </row>
    <row r="28" spans="1:22" s="96" customFormat="1" ht="14.25">
      <c r="A28" s="97" t="s">
        <v>236</v>
      </c>
      <c r="B28" s="95">
        <f>SUM(B26:B27)</f>
        <v>9000</v>
      </c>
      <c r="C28" s="95">
        <f>SUM(C26:C27)</f>
        <v>9000</v>
      </c>
      <c r="D28" s="95">
        <v>0</v>
      </c>
      <c r="E28" s="95">
        <f aca="true" t="shared" si="4" ref="E28:S28">SUM(E26:E27)</f>
        <v>0</v>
      </c>
      <c r="F28" s="95">
        <f>SUM(F26:F27)</f>
        <v>6000</v>
      </c>
      <c r="G28" s="95">
        <f t="shared" si="4"/>
        <v>0</v>
      </c>
      <c r="H28" s="95">
        <f t="shared" si="4"/>
        <v>0</v>
      </c>
      <c r="I28" s="95">
        <f t="shared" si="4"/>
        <v>0</v>
      </c>
      <c r="J28" s="95">
        <f t="shared" si="4"/>
        <v>0</v>
      </c>
      <c r="K28" s="95">
        <f t="shared" si="4"/>
        <v>0</v>
      </c>
      <c r="L28" s="95">
        <f>SUM(L26:L27)</f>
        <v>9000</v>
      </c>
      <c r="M28" s="95">
        <f t="shared" si="4"/>
        <v>0</v>
      </c>
      <c r="N28" s="95">
        <f t="shared" si="4"/>
        <v>0</v>
      </c>
      <c r="O28" s="95">
        <f t="shared" si="4"/>
        <v>0</v>
      </c>
      <c r="P28" s="95">
        <f t="shared" si="4"/>
        <v>0</v>
      </c>
      <c r="Q28" s="95">
        <f t="shared" si="4"/>
        <v>0</v>
      </c>
      <c r="R28" s="95">
        <f t="shared" si="4"/>
        <v>0</v>
      </c>
      <c r="S28" s="95">
        <f t="shared" si="4"/>
        <v>0</v>
      </c>
      <c r="T28" s="222">
        <f>SUM(B28:S28)</f>
        <v>33000</v>
      </c>
      <c r="U28" s="105"/>
      <c r="V28" s="105"/>
    </row>
    <row r="29" spans="1:22" s="96" customFormat="1" ht="14.25">
      <c r="A29" s="97" t="s">
        <v>237</v>
      </c>
      <c r="B29" s="95">
        <f>SUM(9000+9000+9000)</f>
        <v>27000</v>
      </c>
      <c r="C29" s="95">
        <f>SUM(9000+9000+9000)</f>
        <v>27000</v>
      </c>
      <c r="D29" s="95">
        <v>0</v>
      </c>
      <c r="E29" s="95">
        <v>0</v>
      </c>
      <c r="F29" s="95">
        <f>SUM(6000+6000+6000)</f>
        <v>18000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f>SUM(9000+9000+9000)</f>
        <v>27000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222">
        <f>SUM(B29:S29)</f>
        <v>99000</v>
      </c>
      <c r="U29" s="105"/>
      <c r="V29" s="105"/>
    </row>
    <row r="30" spans="1:22" s="96" customFormat="1" ht="14.25">
      <c r="A30" s="94" t="s">
        <v>243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222"/>
      <c r="U30" s="105"/>
      <c r="V30" s="105"/>
    </row>
    <row r="31" spans="1:22" s="96" customFormat="1" ht="14.25">
      <c r="A31" s="93" t="s">
        <v>244</v>
      </c>
      <c r="B31" s="95">
        <v>157200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/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222">
        <f aca="true" t="shared" si="5" ref="T31:T36">SUM(B31:S31)</f>
        <v>157200</v>
      </c>
      <c r="U31" s="105"/>
      <c r="V31" s="105"/>
    </row>
    <row r="32" spans="1:22" s="96" customFormat="1" ht="14.25">
      <c r="A32" s="93" t="s">
        <v>245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222">
        <f t="shared" si="5"/>
        <v>0</v>
      </c>
      <c r="U32" s="105"/>
      <c r="V32" s="105"/>
    </row>
    <row r="33" spans="1:22" s="96" customFormat="1" ht="14.25">
      <c r="A33" s="93">
        <v>204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/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222">
        <f t="shared" si="5"/>
        <v>0</v>
      </c>
      <c r="U33" s="105"/>
      <c r="V33" s="105"/>
    </row>
    <row r="34" spans="1:22" s="96" customFormat="1" ht="14.25">
      <c r="A34" s="93" t="s">
        <v>246</v>
      </c>
      <c r="B34" s="95">
        <f>SUM(1600+1000)</f>
        <v>2600</v>
      </c>
      <c r="C34" s="95">
        <f>SUM(1250+1250+1000)</f>
        <v>3500</v>
      </c>
      <c r="D34" s="95">
        <v>0</v>
      </c>
      <c r="E34" s="95">
        <v>0</v>
      </c>
      <c r="F34" s="95">
        <f>SUM(2400)</f>
        <v>2400</v>
      </c>
      <c r="G34" s="95">
        <v>0</v>
      </c>
      <c r="H34" s="95">
        <v>0</v>
      </c>
      <c r="I34" s="95">
        <v>0</v>
      </c>
      <c r="J34" s="95">
        <f>SUM(1600)</f>
        <v>1600</v>
      </c>
      <c r="K34" s="95">
        <v>0</v>
      </c>
      <c r="L34" s="95"/>
      <c r="M34" s="95">
        <v>0</v>
      </c>
      <c r="N34" s="95">
        <v>0</v>
      </c>
      <c r="O34" s="95">
        <v>0</v>
      </c>
      <c r="P34" s="95">
        <v>0</v>
      </c>
      <c r="Q34" s="95">
        <f>SUM(2400)</f>
        <v>2400</v>
      </c>
      <c r="R34" s="95">
        <v>0</v>
      </c>
      <c r="S34" s="95">
        <v>0</v>
      </c>
      <c r="T34" s="222">
        <f t="shared" si="5"/>
        <v>12500</v>
      </c>
      <c r="U34" s="105"/>
      <c r="V34" s="105"/>
    </row>
    <row r="35" spans="1:22" s="96" customFormat="1" ht="14.25">
      <c r="A35" s="93" t="s">
        <v>247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222">
        <f t="shared" si="5"/>
        <v>0</v>
      </c>
      <c r="U35" s="105"/>
      <c r="V35" s="105"/>
    </row>
    <row r="36" spans="1:22" s="96" customFormat="1" ht="14.25">
      <c r="A36" s="93" t="s">
        <v>248</v>
      </c>
      <c r="B36" s="95">
        <v>0</v>
      </c>
      <c r="C36" s="95">
        <f>SUM(93)</f>
        <v>93</v>
      </c>
      <c r="D36" s="95">
        <v>0</v>
      </c>
      <c r="E36" s="95">
        <v>0</v>
      </c>
      <c r="F36" s="95">
        <v>1040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/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222">
        <f t="shared" si="5"/>
        <v>1133</v>
      </c>
      <c r="U36" s="105"/>
      <c r="V36" s="105"/>
    </row>
    <row r="37" spans="1:22" s="96" customFormat="1" ht="14.25">
      <c r="A37" s="97" t="s">
        <v>236</v>
      </c>
      <c r="B37" s="95">
        <f>SUM(B31:B36)</f>
        <v>159800</v>
      </c>
      <c r="C37" s="95">
        <f>SUM(C31:C36)</f>
        <v>3593</v>
      </c>
      <c r="D37" s="95">
        <f>SUM(D31:D36)</f>
        <v>0</v>
      </c>
      <c r="E37" s="95">
        <f>SUM(E31:E36)</f>
        <v>0</v>
      </c>
      <c r="F37" s="95">
        <f>SUM(F31:F36)</f>
        <v>3440</v>
      </c>
      <c r="G37" s="95">
        <f aca="true" t="shared" si="6" ref="G37:R37">SUM(G31:G36)</f>
        <v>0</v>
      </c>
      <c r="H37" s="95">
        <f t="shared" si="6"/>
        <v>0</v>
      </c>
      <c r="I37" s="95">
        <f t="shared" si="6"/>
        <v>0</v>
      </c>
      <c r="J37" s="95">
        <f t="shared" si="6"/>
        <v>1600</v>
      </c>
      <c r="K37" s="95">
        <f t="shared" si="6"/>
        <v>0</v>
      </c>
      <c r="L37" s="95">
        <f>SUM(L31:L36)</f>
        <v>0</v>
      </c>
      <c r="M37" s="95">
        <f t="shared" si="6"/>
        <v>0</v>
      </c>
      <c r="N37" s="95">
        <f t="shared" si="6"/>
        <v>0</v>
      </c>
      <c r="O37" s="95">
        <f t="shared" si="6"/>
        <v>0</v>
      </c>
      <c r="P37" s="95">
        <f t="shared" si="6"/>
        <v>0</v>
      </c>
      <c r="Q37" s="95">
        <f t="shared" si="6"/>
        <v>2400</v>
      </c>
      <c r="R37" s="95">
        <f t="shared" si="6"/>
        <v>0</v>
      </c>
      <c r="S37" s="95">
        <f>SUM(S35:S36)</f>
        <v>0</v>
      </c>
      <c r="T37" s="222">
        <f>SUM(B37:S37)</f>
        <v>170833</v>
      </c>
      <c r="U37" s="105"/>
      <c r="V37" s="105"/>
    </row>
    <row r="38" spans="1:22" s="96" customFormat="1" ht="14.25">
      <c r="A38" s="97" t="s">
        <v>237</v>
      </c>
      <c r="B38" s="95">
        <f>SUM(165812.55+161668+159800)</f>
        <v>487280.55</v>
      </c>
      <c r="C38" s="95">
        <f>SUM(4255+7701+3593)</f>
        <v>15549</v>
      </c>
      <c r="D38" s="95">
        <v>0</v>
      </c>
      <c r="E38" s="95">
        <v>0</v>
      </c>
      <c r="F38" s="95">
        <f>SUM(4450+2400+3440)</f>
        <v>10290</v>
      </c>
      <c r="G38" s="95">
        <v>0</v>
      </c>
      <c r="H38" s="95">
        <v>0</v>
      </c>
      <c r="I38" s="95">
        <v>0</v>
      </c>
      <c r="J38" s="95">
        <f>SUM(1600+1600+1600)</f>
        <v>4800</v>
      </c>
      <c r="K38" s="95">
        <v>0</v>
      </c>
      <c r="L38" s="95">
        <f>SUM(1702)</f>
        <v>1702</v>
      </c>
      <c r="M38" s="95">
        <v>0</v>
      </c>
      <c r="N38" s="95">
        <v>0</v>
      </c>
      <c r="O38" s="95">
        <v>0</v>
      </c>
      <c r="P38" s="95">
        <v>0</v>
      </c>
      <c r="Q38" s="95">
        <f>SUM(2400+2400+2400)</f>
        <v>7200</v>
      </c>
      <c r="R38" s="95">
        <v>0</v>
      </c>
      <c r="S38" s="95">
        <v>0</v>
      </c>
      <c r="T38" s="222">
        <f>SUM(B38:S38)</f>
        <v>526821.55</v>
      </c>
      <c r="U38" s="105"/>
      <c r="V38" s="105"/>
    </row>
    <row r="39" spans="1:22" s="96" customFormat="1" ht="14.25">
      <c r="A39" s="98"/>
      <c r="B39" s="99"/>
      <c r="C39" s="99">
        <v>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223"/>
      <c r="U39" s="105"/>
      <c r="V39" s="105"/>
    </row>
    <row r="40" spans="1:22" s="96" customFormat="1" ht="14.2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223"/>
      <c r="U40" s="105"/>
      <c r="V40" s="105"/>
    </row>
    <row r="41" spans="1:22" s="96" customFormat="1" ht="14.2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223"/>
      <c r="U41" s="105"/>
      <c r="V41" s="105"/>
    </row>
    <row r="42" spans="1:20" ht="16.5">
      <c r="A42" s="250" t="s">
        <v>19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</row>
    <row r="43" spans="1:20" ht="16.5">
      <c r="A43" s="89" t="s">
        <v>204</v>
      </c>
      <c r="B43" s="248" t="s">
        <v>205</v>
      </c>
      <c r="C43" s="249"/>
      <c r="D43" s="248" t="s">
        <v>206</v>
      </c>
      <c r="E43" s="249"/>
      <c r="F43" s="248" t="s">
        <v>207</v>
      </c>
      <c r="G43" s="249"/>
      <c r="H43" s="90" t="s">
        <v>208</v>
      </c>
      <c r="I43" s="93" t="s">
        <v>209</v>
      </c>
      <c r="J43" s="248" t="s">
        <v>210</v>
      </c>
      <c r="K43" s="249"/>
      <c r="L43" s="248" t="s">
        <v>211</v>
      </c>
      <c r="M43" s="249"/>
      <c r="N43" s="248" t="s">
        <v>212</v>
      </c>
      <c r="O43" s="249"/>
      <c r="P43" s="91"/>
      <c r="Q43" s="248" t="s">
        <v>213</v>
      </c>
      <c r="R43" s="249"/>
      <c r="S43" s="11" t="s">
        <v>214</v>
      </c>
      <c r="T43" s="251" t="s">
        <v>215</v>
      </c>
    </row>
    <row r="44" spans="1:20" ht="16.5">
      <c r="A44" s="92" t="s">
        <v>86</v>
      </c>
      <c r="B44" s="93" t="s">
        <v>216</v>
      </c>
      <c r="C44" s="11" t="s">
        <v>217</v>
      </c>
      <c r="D44" s="11" t="s">
        <v>218</v>
      </c>
      <c r="E44" s="11" t="s">
        <v>219</v>
      </c>
      <c r="F44" s="11" t="s">
        <v>220</v>
      </c>
      <c r="G44" s="11" t="s">
        <v>221</v>
      </c>
      <c r="H44" s="11" t="s">
        <v>222</v>
      </c>
      <c r="I44" s="93" t="s">
        <v>223</v>
      </c>
      <c r="J44" s="11" t="s">
        <v>224</v>
      </c>
      <c r="K44" s="11" t="s">
        <v>225</v>
      </c>
      <c r="L44" s="11" t="s">
        <v>330</v>
      </c>
      <c r="M44" s="11" t="s">
        <v>226</v>
      </c>
      <c r="N44" s="11" t="s">
        <v>227</v>
      </c>
      <c r="O44" s="11" t="s">
        <v>228</v>
      </c>
      <c r="P44" s="93" t="s">
        <v>229</v>
      </c>
      <c r="Q44" s="11" t="s">
        <v>230</v>
      </c>
      <c r="R44" s="11" t="s">
        <v>231</v>
      </c>
      <c r="S44" s="11" t="s">
        <v>232</v>
      </c>
      <c r="T44" s="252"/>
    </row>
    <row r="45" spans="1:22" s="96" customFormat="1" ht="14.25">
      <c r="A45" s="94" t="s">
        <v>249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222"/>
      <c r="U45" s="105"/>
      <c r="V45" s="105"/>
    </row>
    <row r="46" spans="1:22" s="96" customFormat="1" ht="14.25">
      <c r="A46" s="93">
        <v>251</v>
      </c>
      <c r="B46" s="95">
        <f>SUM(6960+2255)</f>
        <v>9215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/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222">
        <f aca="true" t="shared" si="7" ref="T46:T51">SUM(B46:S46)</f>
        <v>9215</v>
      </c>
      <c r="U46" s="105"/>
      <c r="V46" s="105"/>
    </row>
    <row r="47" spans="1:22" s="96" customFormat="1" ht="14.25">
      <c r="A47" s="93" t="s">
        <v>250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/>
      <c r="K47" s="95">
        <v>0</v>
      </c>
      <c r="L47" s="95"/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222">
        <f t="shared" si="7"/>
        <v>0</v>
      </c>
      <c r="U47" s="105"/>
      <c r="V47" s="105"/>
    </row>
    <row r="48" spans="1:22" s="96" customFormat="1" ht="14.25">
      <c r="A48" s="93" t="s">
        <v>251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/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222">
        <f t="shared" si="7"/>
        <v>0</v>
      </c>
      <c r="U48" s="105"/>
      <c r="V48" s="105"/>
    </row>
    <row r="49" spans="1:22" s="96" customFormat="1" ht="14.25">
      <c r="A49" s="93" t="s">
        <v>252</v>
      </c>
      <c r="B49" s="95">
        <v>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/>
      <c r="M49" s="95">
        <v>0</v>
      </c>
      <c r="N49" s="95">
        <f>SUM(20470+35000+22000)</f>
        <v>77470</v>
      </c>
      <c r="O49" s="95">
        <f>SUM(97000)</f>
        <v>97000</v>
      </c>
      <c r="P49" s="95">
        <v>0</v>
      </c>
      <c r="Q49" s="95">
        <v>0</v>
      </c>
      <c r="R49" s="95">
        <v>0</v>
      </c>
      <c r="S49" s="95">
        <v>0</v>
      </c>
      <c r="T49" s="222">
        <f t="shared" si="7"/>
        <v>174470</v>
      </c>
      <c r="U49" s="105"/>
      <c r="V49" s="105"/>
    </row>
    <row r="50" spans="1:22" s="96" customFormat="1" ht="14.25">
      <c r="A50" s="97" t="s">
        <v>236</v>
      </c>
      <c r="B50" s="95">
        <f>SUM(B46:B49)</f>
        <v>9215</v>
      </c>
      <c r="C50" s="95">
        <f>SUM(C46:C49)</f>
        <v>0</v>
      </c>
      <c r="D50" s="95">
        <f>SUM(D46:D49)</f>
        <v>0</v>
      </c>
      <c r="E50" s="95">
        <f>SUM(E46:E49)</f>
        <v>0</v>
      </c>
      <c r="F50" s="95">
        <v>0</v>
      </c>
      <c r="G50" s="95">
        <f aca="true" t="shared" si="8" ref="G50:L50">SUM(G46:G49)</f>
        <v>0</v>
      </c>
      <c r="H50" s="95">
        <f t="shared" si="8"/>
        <v>0</v>
      </c>
      <c r="I50" s="95">
        <f t="shared" si="8"/>
        <v>0</v>
      </c>
      <c r="J50" s="95">
        <f t="shared" si="8"/>
        <v>0</v>
      </c>
      <c r="K50" s="95">
        <f t="shared" si="8"/>
        <v>0</v>
      </c>
      <c r="L50" s="95">
        <f t="shared" si="8"/>
        <v>0</v>
      </c>
      <c r="M50" s="95">
        <f>SUM(M46:M49)</f>
        <v>0</v>
      </c>
      <c r="N50" s="95">
        <f aca="true" t="shared" si="9" ref="N50:S50">SUM(N46:N49)</f>
        <v>77470</v>
      </c>
      <c r="O50" s="95">
        <f t="shared" si="9"/>
        <v>97000</v>
      </c>
      <c r="P50" s="95">
        <f t="shared" si="9"/>
        <v>0</v>
      </c>
      <c r="Q50" s="95">
        <f>SUM(Q46:Q49)</f>
        <v>0</v>
      </c>
      <c r="R50" s="95">
        <v>0</v>
      </c>
      <c r="S50" s="95">
        <f t="shared" si="9"/>
        <v>0</v>
      </c>
      <c r="T50" s="222">
        <f>SUM(B50:S50)</f>
        <v>183685</v>
      </c>
      <c r="U50" s="105"/>
      <c r="V50" s="105"/>
    </row>
    <row r="51" spans="1:22" s="96" customFormat="1" ht="14.25">
      <c r="A51" s="97" t="s">
        <v>237</v>
      </c>
      <c r="B51" s="95">
        <f>SUM(65700+11786+9215)</f>
        <v>86701</v>
      </c>
      <c r="C51" s="95">
        <f>SUM(53500)</f>
        <v>53500</v>
      </c>
      <c r="D51" s="95">
        <v>0</v>
      </c>
      <c r="E51" s="95">
        <v>0</v>
      </c>
      <c r="F51" s="95">
        <v>0</v>
      </c>
      <c r="G51" s="95">
        <f>SUM(141594)</f>
        <v>141594</v>
      </c>
      <c r="H51" s="95">
        <v>0</v>
      </c>
      <c r="I51" s="95">
        <v>0</v>
      </c>
      <c r="J51" s="95">
        <f>SUM(9400+4072)</f>
        <v>13472</v>
      </c>
      <c r="K51" s="95">
        <v>0</v>
      </c>
      <c r="L51" s="95">
        <f>SUM(0)</f>
        <v>0</v>
      </c>
      <c r="M51" s="95">
        <v>0</v>
      </c>
      <c r="N51" s="95">
        <f>SUM(77470)</f>
        <v>77470</v>
      </c>
      <c r="O51" s="95">
        <f>SUM(96400+137200-40200)</f>
        <v>193400</v>
      </c>
      <c r="P51" s="95">
        <v>0</v>
      </c>
      <c r="Q51" s="95">
        <f>SUM(2030)</f>
        <v>2030</v>
      </c>
      <c r="R51" s="95">
        <v>0</v>
      </c>
      <c r="S51" s="95">
        <v>0</v>
      </c>
      <c r="T51" s="222">
        <f t="shared" si="7"/>
        <v>568167</v>
      </c>
      <c r="U51" s="105"/>
      <c r="V51" s="105"/>
    </row>
    <row r="52" spans="1:22" s="96" customFormat="1" ht="14.25">
      <c r="A52" s="94" t="s">
        <v>253</v>
      </c>
      <c r="B52" s="95"/>
      <c r="C52" s="95">
        <v>0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222"/>
      <c r="U52" s="105"/>
      <c r="V52" s="105"/>
    </row>
    <row r="53" spans="1:22" s="96" customFormat="1" ht="14.25">
      <c r="A53" s="93" t="s">
        <v>254</v>
      </c>
      <c r="B53" s="95">
        <v>0</v>
      </c>
      <c r="C53" s="95">
        <v>0</v>
      </c>
      <c r="D53" s="95">
        <v>0</v>
      </c>
      <c r="E53" s="95">
        <v>0</v>
      </c>
      <c r="F53" s="95">
        <v>0</v>
      </c>
      <c r="G53" s="95"/>
      <c r="H53" s="95">
        <v>0</v>
      </c>
      <c r="I53" s="95">
        <v>0</v>
      </c>
      <c r="J53" s="95">
        <v>0</v>
      </c>
      <c r="K53" s="95">
        <v>0</v>
      </c>
      <c r="L53" s="95"/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222">
        <f aca="true" t="shared" si="10" ref="T53:T59">SUM(B53:S53)</f>
        <v>0</v>
      </c>
      <c r="U53" s="105"/>
      <c r="V53" s="105"/>
    </row>
    <row r="54" spans="1:22" s="96" customFormat="1" ht="14.25">
      <c r="A54" s="93" t="s">
        <v>255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/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222">
        <f t="shared" si="10"/>
        <v>0</v>
      </c>
      <c r="U54" s="105"/>
      <c r="V54" s="105"/>
    </row>
    <row r="55" spans="1:22" s="96" customFormat="1" ht="14.25">
      <c r="A55" s="93" t="s">
        <v>256</v>
      </c>
      <c r="B55" s="95">
        <v>0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/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222">
        <f t="shared" si="10"/>
        <v>0</v>
      </c>
      <c r="U55" s="105"/>
      <c r="V55" s="105"/>
    </row>
    <row r="56" spans="1:22" s="96" customFormat="1" ht="14.25">
      <c r="A56" s="93">
        <v>276</v>
      </c>
      <c r="B56" s="95">
        <f>SUM(3000)</f>
        <v>3000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222">
        <f>SUM(B56:S56)</f>
        <v>3000</v>
      </c>
      <c r="U56" s="105"/>
      <c r="V56" s="105"/>
    </row>
    <row r="57" spans="1:22" s="96" customFormat="1" ht="14.25">
      <c r="A57" s="93" t="s">
        <v>257</v>
      </c>
      <c r="B57" s="95">
        <v>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/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222">
        <f t="shared" si="10"/>
        <v>0</v>
      </c>
      <c r="U57" s="105"/>
      <c r="V57" s="105"/>
    </row>
    <row r="58" spans="1:22" s="96" customFormat="1" ht="14.25">
      <c r="A58" s="93">
        <v>281</v>
      </c>
      <c r="B58" s="95"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/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222">
        <f>SUM(B58:S58)</f>
        <v>0</v>
      </c>
      <c r="U58" s="105"/>
      <c r="V58" s="105"/>
    </row>
    <row r="59" spans="1:22" s="96" customFormat="1" ht="14.25">
      <c r="A59" s="93" t="s">
        <v>258</v>
      </c>
      <c r="B59" s="95">
        <v>0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/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222">
        <f t="shared" si="10"/>
        <v>0</v>
      </c>
      <c r="U59" s="105"/>
      <c r="V59" s="105"/>
    </row>
    <row r="60" spans="1:22" s="96" customFormat="1" ht="14.25">
      <c r="A60" s="97" t="s">
        <v>236</v>
      </c>
      <c r="B60" s="95">
        <f>SUM(B53:B59)</f>
        <v>3000</v>
      </c>
      <c r="C60" s="95">
        <f>SUM(C53:C59)</f>
        <v>0</v>
      </c>
      <c r="D60" s="95">
        <f>SUM(D53:D59)</f>
        <v>0</v>
      </c>
      <c r="E60" s="95">
        <f aca="true" t="shared" si="11" ref="E60:O60">SUM(E53:E59)</f>
        <v>0</v>
      </c>
      <c r="F60" s="95">
        <f>SUM(F53:F59)</f>
        <v>0</v>
      </c>
      <c r="G60" s="95">
        <f>SUM(G53:G59)</f>
        <v>0</v>
      </c>
      <c r="H60" s="95">
        <f t="shared" si="11"/>
        <v>0</v>
      </c>
      <c r="I60" s="95">
        <f t="shared" si="11"/>
        <v>0</v>
      </c>
      <c r="J60" s="95">
        <f>SUM(J53:J59)</f>
        <v>0</v>
      </c>
      <c r="K60" s="95">
        <f t="shared" si="11"/>
        <v>0</v>
      </c>
      <c r="L60" s="95">
        <f>SUM(L53:L59)</f>
        <v>0</v>
      </c>
      <c r="M60" s="95">
        <f t="shared" si="11"/>
        <v>0</v>
      </c>
      <c r="N60" s="95">
        <f t="shared" si="11"/>
        <v>0</v>
      </c>
      <c r="O60" s="95">
        <f t="shared" si="11"/>
        <v>0</v>
      </c>
      <c r="P60" s="95">
        <f>SUM(P53:P59)</f>
        <v>0</v>
      </c>
      <c r="Q60" s="95">
        <f>SUM(Q53:Q59)</f>
        <v>0</v>
      </c>
      <c r="R60" s="95">
        <f>SUM(R53:R59)</f>
        <v>0</v>
      </c>
      <c r="S60" s="95">
        <f>SUM(S57:S59)</f>
        <v>0</v>
      </c>
      <c r="T60" s="222">
        <f>SUM(B60:S60)</f>
        <v>3000</v>
      </c>
      <c r="U60" s="105"/>
      <c r="V60" s="105"/>
    </row>
    <row r="61" spans="1:22" s="96" customFormat="1" ht="14.25">
      <c r="A61" s="97" t="s">
        <v>237</v>
      </c>
      <c r="B61" s="95">
        <f>SUM(4700+3000)</f>
        <v>7700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f>SUM(0)</f>
        <v>0</v>
      </c>
      <c r="M61" s="95">
        <v>0</v>
      </c>
      <c r="N61" s="95">
        <v>0</v>
      </c>
      <c r="O61" s="95">
        <f>SUM(3150)</f>
        <v>3150</v>
      </c>
      <c r="P61" s="95">
        <v>0</v>
      </c>
      <c r="Q61" s="95">
        <v>0</v>
      </c>
      <c r="R61" s="95">
        <v>0</v>
      </c>
      <c r="S61" s="95">
        <v>0</v>
      </c>
      <c r="T61" s="222">
        <f>SUM(B61:S61)</f>
        <v>10850</v>
      </c>
      <c r="U61" s="105"/>
      <c r="V61" s="105"/>
    </row>
    <row r="62" spans="1:22" s="96" customFormat="1" ht="14.25">
      <c r="A62" s="94" t="s">
        <v>259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222"/>
      <c r="U62" s="105"/>
      <c r="V62" s="105"/>
    </row>
    <row r="63" spans="1:22" s="96" customFormat="1" ht="14.25">
      <c r="A63" s="93" t="s">
        <v>260</v>
      </c>
      <c r="B63" s="95">
        <f>SUM(9820.37)</f>
        <v>9820.37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f>SUM(606.5)</f>
        <v>606.5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222">
        <f>SUM(B63:S63)</f>
        <v>10426.87</v>
      </c>
      <c r="U63" s="105"/>
      <c r="V63" s="105"/>
    </row>
    <row r="64" spans="1:22" s="96" customFormat="1" ht="14.25">
      <c r="A64" s="93">
        <v>303</v>
      </c>
      <c r="B64" s="95">
        <f>SUM(295.86)</f>
        <v>295.86</v>
      </c>
      <c r="C64" s="95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/>
      <c r="M64" s="95">
        <v>0</v>
      </c>
      <c r="N64" s="95">
        <v>0</v>
      </c>
      <c r="O64" s="95">
        <v>0</v>
      </c>
      <c r="P64" s="95">
        <v>0</v>
      </c>
      <c r="Q64" s="95">
        <v>0</v>
      </c>
      <c r="R64" s="95">
        <v>0</v>
      </c>
      <c r="S64" s="95">
        <v>0</v>
      </c>
      <c r="T64" s="222"/>
      <c r="U64" s="105"/>
      <c r="V64" s="105"/>
    </row>
    <row r="65" spans="1:22" s="96" customFormat="1" ht="14.25">
      <c r="A65" s="93">
        <v>304</v>
      </c>
      <c r="B65" s="95">
        <v>0</v>
      </c>
      <c r="C65" s="95">
        <v>0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222"/>
      <c r="U65" s="105"/>
      <c r="V65" s="105"/>
    </row>
    <row r="66" spans="1:22" s="96" customFormat="1" ht="14.25">
      <c r="A66" s="93" t="s">
        <v>261</v>
      </c>
      <c r="B66" s="95">
        <f>SUM(8324.6)</f>
        <v>8324.6</v>
      </c>
      <c r="C66" s="95"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/>
      <c r="M66" s="95">
        <v>0</v>
      </c>
      <c r="N66" s="95">
        <v>0</v>
      </c>
      <c r="O66" s="95">
        <v>0</v>
      </c>
      <c r="P66" s="95">
        <v>0</v>
      </c>
      <c r="Q66" s="95">
        <v>0</v>
      </c>
      <c r="R66" s="95">
        <v>0</v>
      </c>
      <c r="S66" s="95">
        <v>0</v>
      </c>
      <c r="T66" s="222">
        <f>SUM(B66:S66)</f>
        <v>8324.6</v>
      </c>
      <c r="U66" s="105"/>
      <c r="V66" s="105"/>
    </row>
    <row r="67" spans="1:22" s="96" customFormat="1" ht="14.25">
      <c r="A67" s="97" t="s">
        <v>236</v>
      </c>
      <c r="B67" s="95">
        <f>SUM(B63:B66)</f>
        <v>18440.83</v>
      </c>
      <c r="C67" s="95">
        <f aca="true" t="shared" si="12" ref="C67:O67">SUM(C63:C66)</f>
        <v>0</v>
      </c>
      <c r="D67" s="95">
        <f t="shared" si="12"/>
        <v>0</v>
      </c>
      <c r="E67" s="95">
        <f t="shared" si="12"/>
        <v>0</v>
      </c>
      <c r="F67" s="95">
        <f t="shared" si="12"/>
        <v>0</v>
      </c>
      <c r="G67" s="95">
        <f t="shared" si="12"/>
        <v>0</v>
      </c>
      <c r="H67" s="95"/>
      <c r="I67" s="95">
        <f t="shared" si="12"/>
        <v>0</v>
      </c>
      <c r="J67" s="95">
        <f t="shared" si="12"/>
        <v>0</v>
      </c>
      <c r="K67" s="95">
        <f t="shared" si="12"/>
        <v>0</v>
      </c>
      <c r="L67" s="95">
        <f>SUM(L63:L66)</f>
        <v>606.5</v>
      </c>
      <c r="M67" s="95">
        <f t="shared" si="12"/>
        <v>0</v>
      </c>
      <c r="N67" s="95">
        <f t="shared" si="12"/>
        <v>0</v>
      </c>
      <c r="O67" s="95">
        <f t="shared" si="12"/>
        <v>0</v>
      </c>
      <c r="P67" s="95">
        <f>SUM(P63:P66)</f>
        <v>0</v>
      </c>
      <c r="Q67" s="95">
        <f>SUM(Q63:Q66)</f>
        <v>0</v>
      </c>
      <c r="R67" s="95">
        <f>SUM(R63:R66)</f>
        <v>0</v>
      </c>
      <c r="S67" s="95">
        <f>SUM(S63:S66)</f>
        <v>0</v>
      </c>
      <c r="T67" s="222">
        <f>SUM(B67:S67)</f>
        <v>19047.33</v>
      </c>
      <c r="U67" s="105"/>
      <c r="V67" s="105"/>
    </row>
    <row r="68" spans="1:22" s="96" customFormat="1" ht="14.25">
      <c r="A68" s="97" t="s">
        <v>237</v>
      </c>
      <c r="B68" s="95">
        <f>SUM(13500+18020.98+18440.83)</f>
        <v>49961.81</v>
      </c>
      <c r="C68" s="95">
        <f>SUM(883)</f>
        <v>883</v>
      </c>
      <c r="D68" s="95">
        <v>0</v>
      </c>
      <c r="E68" s="95">
        <v>0</v>
      </c>
      <c r="F68" s="95">
        <v>0</v>
      </c>
      <c r="G68" s="95">
        <v>0</v>
      </c>
      <c r="H68" s="95"/>
      <c r="I68" s="95">
        <v>0</v>
      </c>
      <c r="J68" s="95">
        <v>0</v>
      </c>
      <c r="K68" s="95">
        <v>0</v>
      </c>
      <c r="L68" s="95">
        <f>SUM(881.68+606.5)</f>
        <v>1488.1799999999998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222">
        <f>SUM(B68:S68)</f>
        <v>52332.99</v>
      </c>
      <c r="U68" s="105"/>
      <c r="V68" s="105"/>
    </row>
    <row r="69" spans="1:22" s="96" customFormat="1" ht="14.25">
      <c r="A69" s="94" t="s">
        <v>262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222"/>
      <c r="U69" s="105"/>
      <c r="V69" s="105"/>
    </row>
    <row r="70" spans="1:22" s="96" customFormat="1" ht="14.25">
      <c r="A70" s="93" t="s">
        <v>263</v>
      </c>
      <c r="B70" s="95">
        <v>0</v>
      </c>
      <c r="C70" s="95">
        <v>0</v>
      </c>
      <c r="D70" s="95">
        <v>0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/>
      <c r="M70" s="95">
        <v>0</v>
      </c>
      <c r="N70" s="95">
        <v>0</v>
      </c>
      <c r="O70" s="95">
        <v>30000</v>
      </c>
      <c r="P70" s="95">
        <v>0</v>
      </c>
      <c r="Q70" s="95">
        <v>0</v>
      </c>
      <c r="R70" s="95">
        <v>0</v>
      </c>
      <c r="S70" s="95">
        <v>0</v>
      </c>
      <c r="T70" s="222">
        <f>SUM(B70:S70)</f>
        <v>30000</v>
      </c>
      <c r="U70" s="105"/>
      <c r="V70" s="105"/>
    </row>
    <row r="71" spans="1:22" s="96" customFormat="1" ht="14.25">
      <c r="A71" s="97" t="s">
        <v>236</v>
      </c>
      <c r="B71" s="95">
        <f aca="true" t="shared" si="13" ref="B71:N71">SUM(B70)</f>
        <v>0</v>
      </c>
      <c r="C71" s="95">
        <f t="shared" si="13"/>
        <v>0</v>
      </c>
      <c r="D71" s="95">
        <f>SUM(D70)</f>
        <v>0</v>
      </c>
      <c r="E71" s="95">
        <f t="shared" si="13"/>
        <v>0</v>
      </c>
      <c r="F71" s="95">
        <v>0</v>
      </c>
      <c r="G71" s="95">
        <f t="shared" si="13"/>
        <v>0</v>
      </c>
      <c r="H71" s="95">
        <f t="shared" si="13"/>
        <v>0</v>
      </c>
      <c r="I71" s="95">
        <f>SUM(I70)</f>
        <v>0</v>
      </c>
      <c r="J71" s="95">
        <v>0</v>
      </c>
      <c r="K71" s="95">
        <f t="shared" si="13"/>
        <v>0</v>
      </c>
      <c r="L71" s="95">
        <f>SUM(L70)</f>
        <v>0</v>
      </c>
      <c r="M71" s="95">
        <f t="shared" si="13"/>
        <v>0</v>
      </c>
      <c r="N71" s="95">
        <f t="shared" si="13"/>
        <v>0</v>
      </c>
      <c r="O71" s="95">
        <f>SUM(O70)</f>
        <v>30000</v>
      </c>
      <c r="P71" s="95">
        <v>0</v>
      </c>
      <c r="Q71" s="95">
        <f>SUM(Q70)</f>
        <v>0</v>
      </c>
      <c r="R71" s="95">
        <f>SUM(R70)</f>
        <v>0</v>
      </c>
      <c r="S71" s="95">
        <f>SUM(S69:S70)</f>
        <v>0</v>
      </c>
      <c r="T71" s="222">
        <f>SUM(B71:S71)</f>
        <v>30000</v>
      </c>
      <c r="U71" s="105">
        <v>0</v>
      </c>
      <c r="V71" s="105"/>
    </row>
    <row r="72" spans="1:22" s="96" customFormat="1" ht="14.25">
      <c r="A72" s="97" t="s">
        <v>237</v>
      </c>
      <c r="B72" s="95">
        <v>0</v>
      </c>
      <c r="C72" s="95">
        <v>0</v>
      </c>
      <c r="D72" s="95">
        <v>0</v>
      </c>
      <c r="E72" s="95">
        <v>0</v>
      </c>
      <c r="F72" s="95">
        <v>0</v>
      </c>
      <c r="G72" s="95">
        <f>SUM(893100)</f>
        <v>893100</v>
      </c>
      <c r="H72" s="95">
        <v>0</v>
      </c>
      <c r="I72" s="95">
        <v>0</v>
      </c>
      <c r="J72" s="95">
        <v>0</v>
      </c>
      <c r="K72" s="95">
        <v>0</v>
      </c>
      <c r="L72" s="95">
        <f>SUM(0)</f>
        <v>0</v>
      </c>
      <c r="M72" s="95">
        <v>0</v>
      </c>
      <c r="N72" s="95">
        <v>0</v>
      </c>
      <c r="O72" s="95">
        <f>SUM(30000)</f>
        <v>30000</v>
      </c>
      <c r="P72" s="95">
        <v>0</v>
      </c>
      <c r="Q72" s="95">
        <v>0</v>
      </c>
      <c r="R72" s="95">
        <v>0</v>
      </c>
      <c r="S72" s="95">
        <v>0</v>
      </c>
      <c r="T72" s="222">
        <f>SUM(B72:S72)</f>
        <v>923100</v>
      </c>
      <c r="U72" s="105"/>
      <c r="V72" s="105"/>
    </row>
    <row r="73" spans="1:20" ht="16.5">
      <c r="A73" s="100"/>
      <c r="B73" s="99"/>
      <c r="C73" s="12"/>
      <c r="D73" s="12"/>
      <c r="E73" s="12"/>
      <c r="F73" s="12"/>
      <c r="G73" s="12"/>
      <c r="H73" s="12"/>
      <c r="I73" s="99"/>
      <c r="J73" s="12"/>
      <c r="K73" s="12"/>
      <c r="L73" s="12"/>
      <c r="M73" s="12"/>
      <c r="N73" s="12"/>
      <c r="O73" s="12"/>
      <c r="P73" s="99"/>
      <c r="Q73" s="12"/>
      <c r="R73" s="12"/>
      <c r="S73" s="12"/>
      <c r="T73" s="224"/>
    </row>
    <row r="74" spans="1:20" ht="16.5">
      <c r="A74" s="100"/>
      <c r="B74" s="99"/>
      <c r="C74" s="12"/>
      <c r="D74" s="12"/>
      <c r="E74" s="12"/>
      <c r="F74" s="12"/>
      <c r="G74" s="12"/>
      <c r="H74" s="12"/>
      <c r="I74" s="99"/>
      <c r="J74" s="12"/>
      <c r="K74" s="12"/>
      <c r="L74" s="12"/>
      <c r="M74" s="12"/>
      <c r="N74" s="12"/>
      <c r="O74" s="12"/>
      <c r="P74" s="99"/>
      <c r="Q74" s="12"/>
      <c r="R74" s="12"/>
      <c r="S74" s="12"/>
      <c r="T74" s="224"/>
    </row>
    <row r="75" spans="1:20" ht="16.5">
      <c r="A75" s="100"/>
      <c r="B75" s="99"/>
      <c r="C75" s="12"/>
      <c r="D75" s="12"/>
      <c r="E75" s="12"/>
      <c r="F75" s="12"/>
      <c r="G75" s="12"/>
      <c r="H75" s="12"/>
      <c r="I75" s="99"/>
      <c r="J75" s="12"/>
      <c r="K75" s="12"/>
      <c r="L75" s="12"/>
      <c r="M75" s="12"/>
      <c r="N75" s="12"/>
      <c r="O75" s="12"/>
      <c r="P75" s="99"/>
      <c r="Q75" s="12"/>
      <c r="R75" s="12"/>
      <c r="S75" s="12"/>
      <c r="T75" s="224"/>
    </row>
    <row r="76" spans="1:20" ht="16.5">
      <c r="A76" s="100"/>
      <c r="B76" s="99"/>
      <c r="C76" s="12"/>
      <c r="D76" s="12"/>
      <c r="E76" s="12"/>
      <c r="F76" s="12"/>
      <c r="G76" s="12"/>
      <c r="H76" s="12"/>
      <c r="I76" s="99"/>
      <c r="J76" s="12"/>
      <c r="K76" s="12"/>
      <c r="L76" s="12"/>
      <c r="M76" s="12"/>
      <c r="N76" s="12"/>
      <c r="O76" s="12"/>
      <c r="P76" s="99"/>
      <c r="Q76" s="12"/>
      <c r="R76" s="12"/>
      <c r="S76" s="12"/>
      <c r="T76" s="224"/>
    </row>
    <row r="77" spans="1:20" ht="16.5">
      <c r="A77" s="100"/>
      <c r="B77" s="99"/>
      <c r="C77" s="12"/>
      <c r="D77" s="12"/>
      <c r="E77" s="12"/>
      <c r="F77" s="12"/>
      <c r="G77" s="12"/>
      <c r="H77" s="12"/>
      <c r="I77" s="99"/>
      <c r="J77" s="12"/>
      <c r="K77" s="12"/>
      <c r="L77" s="12"/>
      <c r="M77" s="12"/>
      <c r="N77" s="12"/>
      <c r="O77" s="12"/>
      <c r="P77" s="99"/>
      <c r="Q77" s="12"/>
      <c r="R77" s="12"/>
      <c r="S77" s="12"/>
      <c r="T77" s="224"/>
    </row>
    <row r="78" spans="1:20" ht="16.5">
      <c r="A78" s="100"/>
      <c r="B78" s="99"/>
      <c r="C78" s="12"/>
      <c r="D78" s="12"/>
      <c r="E78" s="12"/>
      <c r="F78" s="12"/>
      <c r="G78" s="12"/>
      <c r="H78" s="12"/>
      <c r="I78" s="99"/>
      <c r="J78" s="12"/>
      <c r="K78" s="12"/>
      <c r="L78" s="12"/>
      <c r="M78" s="12"/>
      <c r="N78" s="12"/>
      <c r="O78" s="12"/>
      <c r="P78" s="99"/>
      <c r="Q78" s="12"/>
      <c r="R78" s="12"/>
      <c r="S78" s="12"/>
      <c r="T78" s="224"/>
    </row>
    <row r="79" spans="1:20" ht="16.5">
      <c r="A79" s="250" t="s">
        <v>18</v>
      </c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</row>
    <row r="80" spans="1:20" ht="16.5">
      <c r="A80" s="89" t="s">
        <v>204</v>
      </c>
      <c r="B80" s="248" t="s">
        <v>205</v>
      </c>
      <c r="C80" s="249"/>
      <c r="D80" s="248" t="s">
        <v>206</v>
      </c>
      <c r="E80" s="249"/>
      <c r="F80" s="248" t="s">
        <v>207</v>
      </c>
      <c r="G80" s="249"/>
      <c r="H80" s="90" t="s">
        <v>208</v>
      </c>
      <c r="I80" s="93" t="s">
        <v>209</v>
      </c>
      <c r="J80" s="248" t="s">
        <v>210</v>
      </c>
      <c r="K80" s="249"/>
      <c r="L80" s="248" t="s">
        <v>211</v>
      </c>
      <c r="M80" s="249"/>
      <c r="N80" s="248" t="s">
        <v>212</v>
      </c>
      <c r="O80" s="249"/>
      <c r="P80" s="91" t="s">
        <v>264</v>
      </c>
      <c r="Q80" s="248" t="s">
        <v>213</v>
      </c>
      <c r="R80" s="249"/>
      <c r="S80" s="11" t="s">
        <v>214</v>
      </c>
      <c r="T80" s="251" t="s">
        <v>215</v>
      </c>
    </row>
    <row r="81" spans="1:20" ht="16.5">
      <c r="A81" s="92" t="s">
        <v>86</v>
      </c>
      <c r="B81" s="93" t="s">
        <v>216</v>
      </c>
      <c r="C81" s="11" t="s">
        <v>217</v>
      </c>
      <c r="D81" s="11" t="s">
        <v>218</v>
      </c>
      <c r="E81" s="11" t="s">
        <v>219</v>
      </c>
      <c r="F81" s="11" t="s">
        <v>220</v>
      </c>
      <c r="G81" s="11" t="s">
        <v>221</v>
      </c>
      <c r="H81" s="11" t="s">
        <v>222</v>
      </c>
      <c r="I81" s="93" t="s">
        <v>223</v>
      </c>
      <c r="J81" s="11" t="s">
        <v>224</v>
      </c>
      <c r="K81" s="11" t="s">
        <v>225</v>
      </c>
      <c r="L81" s="11" t="s">
        <v>330</v>
      </c>
      <c r="M81" s="11" t="s">
        <v>226</v>
      </c>
      <c r="N81" s="11" t="s">
        <v>227</v>
      </c>
      <c r="O81" s="11" t="s">
        <v>228</v>
      </c>
      <c r="P81" s="93" t="s">
        <v>229</v>
      </c>
      <c r="Q81" s="11" t="s">
        <v>230</v>
      </c>
      <c r="R81" s="11" t="s">
        <v>231</v>
      </c>
      <c r="S81" s="11" t="s">
        <v>232</v>
      </c>
      <c r="T81" s="252"/>
    </row>
    <row r="82" spans="1:22" s="96" customFormat="1" ht="14.25">
      <c r="A82" s="94" t="s">
        <v>265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222"/>
      <c r="U82" s="105"/>
      <c r="V82" s="105"/>
    </row>
    <row r="83" spans="1:22" s="96" customFormat="1" ht="14.25">
      <c r="A83" s="93" t="s">
        <v>266</v>
      </c>
      <c r="B83" s="95">
        <v>0</v>
      </c>
      <c r="C83" s="95">
        <v>0</v>
      </c>
      <c r="D83" s="95"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5"/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222">
        <f aca="true" t="shared" si="14" ref="T83:T93">SUM(B83:S83)</f>
        <v>0</v>
      </c>
      <c r="U83" s="105"/>
      <c r="V83" s="105"/>
    </row>
    <row r="84" spans="1:22" s="96" customFormat="1" ht="14.25">
      <c r="A84" s="93">
        <v>456</v>
      </c>
      <c r="B84" s="95">
        <v>0</v>
      </c>
      <c r="C84" s="95">
        <v>0</v>
      </c>
      <c r="D84" s="95">
        <v>0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/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>
        <v>0</v>
      </c>
      <c r="S84" s="95">
        <v>0</v>
      </c>
      <c r="T84" s="222">
        <f t="shared" si="14"/>
        <v>0</v>
      </c>
      <c r="U84" s="105"/>
      <c r="V84" s="105"/>
    </row>
    <row r="85" spans="1:22" s="96" customFormat="1" ht="14.25">
      <c r="A85" s="93">
        <v>457</v>
      </c>
      <c r="B85" s="95">
        <v>0</v>
      </c>
      <c r="C85" s="95">
        <v>0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/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5">
        <v>0</v>
      </c>
      <c r="S85" s="95">
        <v>0</v>
      </c>
      <c r="T85" s="222">
        <f t="shared" si="14"/>
        <v>0</v>
      </c>
      <c r="U85" s="105"/>
      <c r="V85" s="105"/>
    </row>
    <row r="86" spans="1:22" s="96" customFormat="1" ht="14.25">
      <c r="A86" s="93">
        <v>458</v>
      </c>
      <c r="B86" s="95">
        <v>0</v>
      </c>
      <c r="C86" s="95">
        <v>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/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5">
        <v>0</v>
      </c>
      <c r="S86" s="95">
        <v>0</v>
      </c>
      <c r="T86" s="222">
        <f t="shared" si="14"/>
        <v>0</v>
      </c>
      <c r="U86" s="105"/>
      <c r="V86" s="105"/>
    </row>
    <row r="87" spans="1:22" s="96" customFormat="1" ht="14.25">
      <c r="A87" s="93">
        <v>459</v>
      </c>
      <c r="B87" s="95">
        <v>0</v>
      </c>
      <c r="C87" s="95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/>
      <c r="M87" s="95">
        <v>0</v>
      </c>
      <c r="N87" s="95">
        <v>0</v>
      </c>
      <c r="O87" s="95">
        <v>0</v>
      </c>
      <c r="P87" s="95">
        <v>0</v>
      </c>
      <c r="Q87" s="95">
        <v>0</v>
      </c>
      <c r="R87" s="95">
        <v>0</v>
      </c>
      <c r="S87" s="95">
        <v>0</v>
      </c>
      <c r="T87" s="222">
        <f t="shared" si="14"/>
        <v>0</v>
      </c>
      <c r="U87" s="105"/>
      <c r="V87" s="105"/>
    </row>
    <row r="88" spans="1:22" s="96" customFormat="1" ht="14.25">
      <c r="A88" s="93">
        <v>463</v>
      </c>
      <c r="B88" s="95">
        <v>0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/>
      <c r="M88" s="95">
        <v>0</v>
      </c>
      <c r="N88" s="95">
        <v>0</v>
      </c>
      <c r="O88" s="95">
        <v>0</v>
      </c>
      <c r="P88" s="95">
        <v>0</v>
      </c>
      <c r="Q88" s="95">
        <v>0</v>
      </c>
      <c r="R88" s="95">
        <v>0</v>
      </c>
      <c r="S88" s="95">
        <v>0</v>
      </c>
      <c r="T88" s="222">
        <f t="shared" si="14"/>
        <v>0</v>
      </c>
      <c r="U88" s="105"/>
      <c r="V88" s="105"/>
    </row>
    <row r="89" spans="1:22" s="96" customFormat="1" ht="14.25">
      <c r="A89" s="93">
        <v>465</v>
      </c>
      <c r="B89" s="95">
        <v>0</v>
      </c>
      <c r="C89" s="95">
        <v>0</v>
      </c>
      <c r="D89" s="95">
        <v>0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95"/>
      <c r="M89" s="95">
        <v>0</v>
      </c>
      <c r="N89" s="95">
        <v>0</v>
      </c>
      <c r="O89" s="95">
        <v>0</v>
      </c>
      <c r="P89" s="95">
        <v>0</v>
      </c>
      <c r="Q89" s="95">
        <v>0</v>
      </c>
      <c r="R89" s="95">
        <v>0</v>
      </c>
      <c r="S89" s="95">
        <v>0</v>
      </c>
      <c r="T89" s="222">
        <f t="shared" si="14"/>
        <v>0</v>
      </c>
      <c r="U89" s="105"/>
      <c r="V89" s="105"/>
    </row>
    <row r="90" spans="1:22" s="96" customFormat="1" ht="14.25">
      <c r="A90" s="93">
        <v>466</v>
      </c>
      <c r="B90" s="95">
        <v>0</v>
      </c>
      <c r="C90" s="95">
        <v>0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/>
      <c r="M90" s="95">
        <v>0</v>
      </c>
      <c r="N90" s="95">
        <v>0</v>
      </c>
      <c r="O90" s="95">
        <v>0</v>
      </c>
      <c r="P90" s="95">
        <v>0</v>
      </c>
      <c r="Q90" s="95">
        <v>0</v>
      </c>
      <c r="R90" s="95">
        <v>0</v>
      </c>
      <c r="S90" s="95">
        <v>0</v>
      </c>
      <c r="T90" s="222">
        <f t="shared" si="14"/>
        <v>0</v>
      </c>
      <c r="U90" s="105"/>
      <c r="V90" s="105"/>
    </row>
    <row r="91" spans="1:22" s="96" customFormat="1" ht="14.25">
      <c r="A91" s="93">
        <v>467</v>
      </c>
      <c r="B91" s="95">
        <v>0</v>
      </c>
      <c r="C91" s="95">
        <v>0</v>
      </c>
      <c r="D91" s="95">
        <v>0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5"/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5">
        <v>0</v>
      </c>
      <c r="S91" s="95">
        <v>0</v>
      </c>
      <c r="T91" s="222">
        <f t="shared" si="14"/>
        <v>0</v>
      </c>
      <c r="U91" s="105"/>
      <c r="V91" s="105"/>
    </row>
    <row r="92" spans="1:22" s="96" customFormat="1" ht="14.25">
      <c r="A92" s="97" t="s">
        <v>236</v>
      </c>
      <c r="B92" s="95">
        <f>SUM(B83:B91)</f>
        <v>0</v>
      </c>
      <c r="C92" s="95">
        <f aca="true" t="shared" si="15" ref="C92:S92">SUM(C83:C91)</f>
        <v>0</v>
      </c>
      <c r="D92" s="95">
        <f t="shared" si="15"/>
        <v>0</v>
      </c>
      <c r="E92" s="95">
        <f t="shared" si="15"/>
        <v>0</v>
      </c>
      <c r="F92" s="95">
        <f t="shared" si="15"/>
        <v>0</v>
      </c>
      <c r="G92" s="95">
        <f>SUM(G83:G91)</f>
        <v>0</v>
      </c>
      <c r="H92" s="95">
        <f t="shared" si="15"/>
        <v>0</v>
      </c>
      <c r="I92" s="95">
        <f t="shared" si="15"/>
        <v>0</v>
      </c>
      <c r="J92" s="95">
        <f t="shared" si="15"/>
        <v>0</v>
      </c>
      <c r="K92" s="95">
        <f t="shared" si="15"/>
        <v>0</v>
      </c>
      <c r="L92" s="95">
        <f>SUM(L83:L91)</f>
        <v>0</v>
      </c>
      <c r="M92" s="95">
        <f t="shared" si="15"/>
        <v>0</v>
      </c>
      <c r="N92" s="95">
        <f t="shared" si="15"/>
        <v>0</v>
      </c>
      <c r="O92" s="95">
        <f t="shared" si="15"/>
        <v>0</v>
      </c>
      <c r="P92" s="95">
        <f t="shared" si="15"/>
        <v>0</v>
      </c>
      <c r="Q92" s="95">
        <f t="shared" si="15"/>
        <v>0</v>
      </c>
      <c r="R92" s="95">
        <f t="shared" si="15"/>
        <v>0</v>
      </c>
      <c r="S92" s="95">
        <f t="shared" si="15"/>
        <v>0</v>
      </c>
      <c r="T92" s="222">
        <f t="shared" si="14"/>
        <v>0</v>
      </c>
      <c r="U92" s="105"/>
      <c r="V92" s="105"/>
    </row>
    <row r="93" spans="1:22" s="96" customFormat="1" ht="14.25">
      <c r="A93" s="97" t="s">
        <v>237</v>
      </c>
      <c r="B93" s="95">
        <v>0</v>
      </c>
      <c r="C93" s="95">
        <v>0</v>
      </c>
      <c r="D93" s="95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f>SUM(0)</f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95">
        <v>0</v>
      </c>
      <c r="T93" s="222">
        <f t="shared" si="14"/>
        <v>0</v>
      </c>
      <c r="U93" s="105"/>
      <c r="V93" s="105"/>
    </row>
    <row r="94" spans="1:22" s="96" customFormat="1" ht="14.25">
      <c r="A94" s="94" t="s">
        <v>267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222"/>
      <c r="U94" s="105"/>
      <c r="V94" s="105"/>
    </row>
    <row r="95" spans="1:22" s="96" customFormat="1" ht="14.25">
      <c r="A95" s="93">
        <v>501</v>
      </c>
      <c r="B95" s="95">
        <v>0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/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  <c r="T95" s="222">
        <f aca="true" t="shared" si="16" ref="T95:T107">SUM(B95:S95)</f>
        <v>0</v>
      </c>
      <c r="U95" s="105"/>
      <c r="V95" s="105"/>
    </row>
    <row r="96" spans="1:22" s="96" customFormat="1" ht="14.25">
      <c r="A96" s="93">
        <v>502</v>
      </c>
      <c r="B96" s="95">
        <v>0</v>
      </c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95">
        <v>0</v>
      </c>
      <c r="K96" s="95">
        <v>0</v>
      </c>
      <c r="L96" s="95"/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5">
        <v>0</v>
      </c>
      <c r="S96" s="95">
        <v>0</v>
      </c>
      <c r="T96" s="222">
        <f t="shared" si="16"/>
        <v>0</v>
      </c>
      <c r="U96" s="105"/>
      <c r="V96" s="105"/>
    </row>
    <row r="97" spans="1:22" s="96" customFormat="1" ht="14.25">
      <c r="A97" s="93">
        <v>507</v>
      </c>
      <c r="B97" s="95">
        <v>0</v>
      </c>
      <c r="C97" s="95">
        <v>0</v>
      </c>
      <c r="D97" s="95">
        <v>0</v>
      </c>
      <c r="E97" s="95">
        <v>0</v>
      </c>
      <c r="F97" s="95">
        <v>0</v>
      </c>
      <c r="G97" s="95">
        <v>0</v>
      </c>
      <c r="H97" s="95">
        <v>0</v>
      </c>
      <c r="I97" s="95">
        <v>0</v>
      </c>
      <c r="J97" s="95">
        <v>0</v>
      </c>
      <c r="K97" s="95">
        <v>0</v>
      </c>
      <c r="L97" s="95"/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95">
        <v>0</v>
      </c>
      <c r="S97" s="95">
        <v>0</v>
      </c>
      <c r="T97" s="222">
        <f t="shared" si="16"/>
        <v>0</v>
      </c>
      <c r="U97" s="105"/>
      <c r="V97" s="105"/>
    </row>
    <row r="98" spans="1:22" s="96" customFormat="1" ht="14.25">
      <c r="A98" s="93">
        <v>509</v>
      </c>
      <c r="B98" s="95">
        <v>0</v>
      </c>
      <c r="C98" s="95">
        <v>0</v>
      </c>
      <c r="D98" s="95">
        <v>0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/>
      <c r="M98" s="95">
        <v>0</v>
      </c>
      <c r="N98" s="95">
        <v>0</v>
      </c>
      <c r="O98" s="95">
        <v>0</v>
      </c>
      <c r="P98" s="95">
        <v>0</v>
      </c>
      <c r="Q98" s="95">
        <v>0</v>
      </c>
      <c r="R98" s="95">
        <v>0</v>
      </c>
      <c r="S98" s="95">
        <v>0</v>
      </c>
      <c r="T98" s="222">
        <f>SUM(B98:S98)</f>
        <v>0</v>
      </c>
      <c r="U98" s="105"/>
      <c r="V98" s="105"/>
    </row>
    <row r="99" spans="1:22" s="96" customFormat="1" ht="14.25">
      <c r="A99" s="93">
        <v>511</v>
      </c>
      <c r="B99" s="95">
        <v>0</v>
      </c>
      <c r="C99" s="95">
        <v>0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/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5">
        <v>0</v>
      </c>
      <c r="S99" s="95">
        <v>0</v>
      </c>
      <c r="T99" s="222">
        <f t="shared" si="16"/>
        <v>0</v>
      </c>
      <c r="U99" s="105"/>
      <c r="V99" s="105"/>
    </row>
    <row r="100" spans="1:22" s="96" customFormat="1" ht="14.25">
      <c r="A100" s="93" t="s">
        <v>268</v>
      </c>
      <c r="B100" s="95">
        <v>0</v>
      </c>
      <c r="C100" s="95">
        <v>0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/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5">
        <v>0</v>
      </c>
      <c r="S100" s="95">
        <v>0</v>
      </c>
      <c r="T100" s="222">
        <f t="shared" si="16"/>
        <v>0</v>
      </c>
      <c r="U100" s="105"/>
      <c r="V100" s="105"/>
    </row>
    <row r="101" spans="1:22" s="96" customFormat="1" ht="14.25">
      <c r="A101" s="93" t="s">
        <v>269</v>
      </c>
      <c r="B101" s="95">
        <v>0</v>
      </c>
      <c r="C101" s="95">
        <v>0</v>
      </c>
      <c r="D101" s="95">
        <v>0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/>
      <c r="M101" s="95">
        <v>0</v>
      </c>
      <c r="N101" s="95">
        <v>0</v>
      </c>
      <c r="O101" s="95">
        <v>0</v>
      </c>
      <c r="P101" s="95">
        <v>0</v>
      </c>
      <c r="Q101" s="95">
        <v>0</v>
      </c>
      <c r="R101" s="95">
        <v>0</v>
      </c>
      <c r="S101" s="95">
        <v>0</v>
      </c>
      <c r="T101" s="222">
        <f t="shared" si="16"/>
        <v>0</v>
      </c>
      <c r="U101" s="105"/>
      <c r="V101" s="105"/>
    </row>
    <row r="102" spans="1:22" s="96" customFormat="1" ht="14.25">
      <c r="A102" s="93">
        <v>517</v>
      </c>
      <c r="B102" s="95">
        <v>0</v>
      </c>
      <c r="C102" s="95">
        <v>0</v>
      </c>
      <c r="D102" s="95">
        <v>0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/>
      <c r="M102" s="95">
        <v>0</v>
      </c>
      <c r="N102" s="95">
        <v>0</v>
      </c>
      <c r="O102" s="95">
        <v>0</v>
      </c>
      <c r="P102" s="95">
        <v>0</v>
      </c>
      <c r="Q102" s="95">
        <v>0</v>
      </c>
      <c r="R102" s="95">
        <v>0</v>
      </c>
      <c r="S102" s="95">
        <v>0</v>
      </c>
      <c r="T102" s="222">
        <f t="shared" si="16"/>
        <v>0</v>
      </c>
      <c r="U102" s="105"/>
      <c r="V102" s="105"/>
    </row>
    <row r="103" spans="1:22" s="96" customFormat="1" ht="14.25">
      <c r="A103" s="93">
        <v>519</v>
      </c>
      <c r="B103" s="95">
        <v>0</v>
      </c>
      <c r="C103" s="95">
        <v>0</v>
      </c>
      <c r="D103" s="95">
        <v>0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0</v>
      </c>
      <c r="L103" s="95"/>
      <c r="M103" s="95">
        <v>0</v>
      </c>
      <c r="N103" s="95">
        <v>0</v>
      </c>
      <c r="O103" s="95">
        <v>0</v>
      </c>
      <c r="P103" s="95">
        <v>0</v>
      </c>
      <c r="Q103" s="95">
        <v>0</v>
      </c>
      <c r="R103" s="95">
        <v>0</v>
      </c>
      <c r="S103" s="95">
        <v>0</v>
      </c>
      <c r="T103" s="222"/>
      <c r="U103" s="105"/>
      <c r="V103" s="105"/>
    </row>
    <row r="104" spans="1:22" s="96" customFormat="1" ht="14.25">
      <c r="A104" s="97" t="s">
        <v>236</v>
      </c>
      <c r="B104" s="95">
        <f>SUM(B97:B102)</f>
        <v>0</v>
      </c>
      <c r="C104" s="95">
        <f aca="true" t="shared" si="17" ref="C104:S104">SUM(C97:C102)</f>
        <v>0</v>
      </c>
      <c r="D104" s="95">
        <f t="shared" si="17"/>
        <v>0</v>
      </c>
      <c r="E104" s="95">
        <f t="shared" si="17"/>
        <v>0</v>
      </c>
      <c r="F104" s="95">
        <f t="shared" si="17"/>
        <v>0</v>
      </c>
      <c r="G104" s="95">
        <f t="shared" si="17"/>
        <v>0</v>
      </c>
      <c r="H104" s="95">
        <f t="shared" si="17"/>
        <v>0</v>
      </c>
      <c r="I104" s="95">
        <f t="shared" si="17"/>
        <v>0</v>
      </c>
      <c r="J104" s="95">
        <f t="shared" si="17"/>
        <v>0</v>
      </c>
      <c r="K104" s="95">
        <f t="shared" si="17"/>
        <v>0</v>
      </c>
      <c r="L104" s="95">
        <f>SUM(L95:L103)</f>
        <v>0</v>
      </c>
      <c r="M104" s="95">
        <f t="shared" si="17"/>
        <v>0</v>
      </c>
      <c r="N104" s="95">
        <f t="shared" si="17"/>
        <v>0</v>
      </c>
      <c r="O104" s="95">
        <f t="shared" si="17"/>
        <v>0</v>
      </c>
      <c r="P104" s="95">
        <f t="shared" si="17"/>
        <v>0</v>
      </c>
      <c r="Q104" s="95">
        <f t="shared" si="17"/>
        <v>0</v>
      </c>
      <c r="R104" s="95">
        <f t="shared" si="17"/>
        <v>0</v>
      </c>
      <c r="S104" s="95">
        <f t="shared" si="17"/>
        <v>0</v>
      </c>
      <c r="T104" s="222">
        <f t="shared" si="16"/>
        <v>0</v>
      </c>
      <c r="U104" s="105"/>
      <c r="V104" s="105"/>
    </row>
    <row r="105" spans="1:22" s="96" customFormat="1" ht="14.25">
      <c r="A105" s="97" t="s">
        <v>237</v>
      </c>
      <c r="B105" s="95">
        <v>0</v>
      </c>
      <c r="C105" s="95">
        <v>0</v>
      </c>
      <c r="D105" s="95">
        <v>0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f>SUM(0)</f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222">
        <f t="shared" si="16"/>
        <v>0</v>
      </c>
      <c r="U105" s="105"/>
      <c r="V105" s="105"/>
    </row>
    <row r="106" spans="1:22" s="96" customFormat="1" ht="14.25">
      <c r="A106" s="101">
        <v>550</v>
      </c>
      <c r="B106" s="95"/>
      <c r="C106" s="95"/>
      <c r="D106" s="95"/>
      <c r="E106" s="95"/>
      <c r="F106" s="95"/>
      <c r="G106" s="95">
        <v>0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222"/>
      <c r="U106" s="105"/>
      <c r="V106" s="105"/>
    </row>
    <row r="107" spans="1:22" s="96" customFormat="1" ht="14.25">
      <c r="A107" s="102">
        <v>554</v>
      </c>
      <c r="B107" s="95">
        <v>0</v>
      </c>
      <c r="C107" s="95">
        <v>0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/>
      <c r="M107" s="95">
        <v>0</v>
      </c>
      <c r="N107" s="95">
        <v>0</v>
      </c>
      <c r="O107" s="95">
        <v>0</v>
      </c>
      <c r="P107" s="95">
        <v>0</v>
      </c>
      <c r="Q107" s="95">
        <v>0</v>
      </c>
      <c r="R107" s="95">
        <v>0</v>
      </c>
      <c r="S107" s="95">
        <v>0</v>
      </c>
      <c r="T107" s="222">
        <f t="shared" si="16"/>
        <v>0</v>
      </c>
      <c r="U107" s="105"/>
      <c r="V107" s="105"/>
    </row>
    <row r="108" spans="1:22" s="96" customFormat="1" ht="14.25">
      <c r="A108" s="97" t="s">
        <v>236</v>
      </c>
      <c r="B108" s="95">
        <f>SUM(B107)</f>
        <v>0</v>
      </c>
      <c r="C108" s="95">
        <f aca="true" t="shared" si="18" ref="C108:R108">SUM(C107)</f>
        <v>0</v>
      </c>
      <c r="D108" s="95">
        <f t="shared" si="18"/>
        <v>0</v>
      </c>
      <c r="E108" s="95">
        <f t="shared" si="18"/>
        <v>0</v>
      </c>
      <c r="F108" s="95">
        <v>0</v>
      </c>
      <c r="G108" s="95">
        <f t="shared" si="18"/>
        <v>0</v>
      </c>
      <c r="H108" s="95">
        <v>0</v>
      </c>
      <c r="I108" s="95">
        <f>SUM(I107)</f>
        <v>0</v>
      </c>
      <c r="J108" s="95">
        <f t="shared" si="18"/>
        <v>0</v>
      </c>
      <c r="K108" s="95">
        <f t="shared" si="18"/>
        <v>0</v>
      </c>
      <c r="L108" s="95">
        <f>SUM(L107)</f>
        <v>0</v>
      </c>
      <c r="M108" s="95">
        <f t="shared" si="18"/>
        <v>0</v>
      </c>
      <c r="N108" s="95">
        <f t="shared" si="18"/>
        <v>0</v>
      </c>
      <c r="O108" s="95">
        <f t="shared" si="18"/>
        <v>0</v>
      </c>
      <c r="P108" s="95">
        <f t="shared" si="18"/>
        <v>0</v>
      </c>
      <c r="Q108" s="95">
        <f t="shared" si="18"/>
        <v>0</v>
      </c>
      <c r="R108" s="95">
        <f t="shared" si="18"/>
        <v>0</v>
      </c>
      <c r="S108" s="95">
        <v>0</v>
      </c>
      <c r="T108" s="222">
        <f>SUM(B108:S108)</f>
        <v>0</v>
      </c>
      <c r="U108" s="105"/>
      <c r="V108" s="105"/>
    </row>
    <row r="109" spans="1:22" s="96" customFormat="1" ht="14.25">
      <c r="A109" s="97" t="s">
        <v>237</v>
      </c>
      <c r="B109" s="95">
        <v>0</v>
      </c>
      <c r="C109" s="95">
        <v>0</v>
      </c>
      <c r="D109" s="95">
        <v>0</v>
      </c>
      <c r="E109" s="95">
        <v>0</v>
      </c>
      <c r="F109" s="95">
        <v>0</v>
      </c>
      <c r="G109" s="95">
        <v>0</v>
      </c>
      <c r="H109" s="95"/>
      <c r="I109" s="95">
        <v>0</v>
      </c>
      <c r="J109" s="95">
        <v>0</v>
      </c>
      <c r="K109" s="95">
        <v>0</v>
      </c>
      <c r="L109" s="95">
        <f>SUM(0)</f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222">
        <f>SUM(B109:S109)</f>
        <v>0</v>
      </c>
      <c r="U109" s="105"/>
      <c r="V109" s="105"/>
    </row>
    <row r="110" spans="1:23" s="96" customFormat="1" ht="14.25">
      <c r="A110" s="97" t="s">
        <v>236</v>
      </c>
      <c r="B110" s="95">
        <f>SUM(B104+B92+B71+B67+B60+B50+B37+B23+B18+B10+B108+B28)</f>
        <v>338525.83</v>
      </c>
      <c r="C110" s="95">
        <f>SUM(C104+C92+C71+C67+C60+C50+C37+C23+C18+D10+C108+C28)</f>
        <v>92153</v>
      </c>
      <c r="D110" s="95">
        <f>SUM(D104+D92+D71+D67+D60+D50+D37+D23+D18+E10+D108+D28)</f>
        <v>0</v>
      </c>
      <c r="E110" s="95">
        <f aca="true" t="shared" si="19" ref="E110:K110">SUM(E104+E92+E71+E67+E60+E50+E37+E23+E18+E10+E108+E28)</f>
        <v>0</v>
      </c>
      <c r="F110" s="95">
        <f t="shared" si="19"/>
        <v>25210</v>
      </c>
      <c r="G110" s="95">
        <f t="shared" si="19"/>
        <v>0</v>
      </c>
      <c r="H110" s="95">
        <f t="shared" si="19"/>
        <v>0</v>
      </c>
      <c r="I110" s="95">
        <f t="shared" si="19"/>
        <v>0</v>
      </c>
      <c r="J110" s="95">
        <f t="shared" si="19"/>
        <v>34460</v>
      </c>
      <c r="K110" s="95">
        <f t="shared" si="19"/>
        <v>0</v>
      </c>
      <c r="L110" s="95">
        <f>SUM(L10+L18+L28+L37+L50+L59+L67+L71+L92+L104+L108)</f>
        <v>24606.5</v>
      </c>
      <c r="M110" s="95">
        <f aca="true" t="shared" si="20" ref="M110:R110">SUM(M104+M92+M71+M67+M60+M50+M37+M23+M18+M10+M108+M28)</f>
        <v>0</v>
      </c>
      <c r="N110" s="95">
        <f t="shared" si="20"/>
        <v>77470</v>
      </c>
      <c r="O110" s="95">
        <f t="shared" si="20"/>
        <v>127000</v>
      </c>
      <c r="P110" s="95">
        <f t="shared" si="20"/>
        <v>0</v>
      </c>
      <c r="Q110" s="95">
        <f t="shared" si="20"/>
        <v>17400</v>
      </c>
      <c r="R110" s="95">
        <f t="shared" si="20"/>
        <v>0</v>
      </c>
      <c r="S110" s="95">
        <f>SUM(S10+S18+S23+S28+S37+S50+S60+S67+S71+S92+S104)</f>
        <v>10020</v>
      </c>
      <c r="T110" s="222">
        <f>SUM(B110:S110)</f>
        <v>746845.3300000001</v>
      </c>
      <c r="U110" s="105"/>
      <c r="V110" s="105"/>
      <c r="W110" s="221"/>
    </row>
    <row r="111" spans="1:23" s="96" customFormat="1" ht="14.25">
      <c r="A111" s="97" t="s">
        <v>237</v>
      </c>
      <c r="B111" s="95">
        <f>SUM(B105+B93+B72+B68+B61+B51+B38+B24+B19+B11+B109+B29)</f>
        <v>1083111.42</v>
      </c>
      <c r="C111" s="95">
        <f>SUM(C105+C93+C72+C68+C61+C51+C38+C24+C19+C11+C109+C29)</f>
        <v>335612</v>
      </c>
      <c r="D111" s="95">
        <f>SUM(D105+D93+D72+D68+D61+D51+D38+D24+D19+D11+D109+D29)</f>
        <v>0</v>
      </c>
      <c r="E111" s="95">
        <f>SUM(E105+E93+E72+E68+E61+E51+E38+E24+E19+E11+E109+E29)</f>
        <v>0</v>
      </c>
      <c r="F111" s="95">
        <f>SUM(F105+F93+F72+F68+F61+F51+F38+F24+F19+F11+F109+F29)</f>
        <v>75600</v>
      </c>
      <c r="G111" s="95">
        <f>SUM(G72+G38+G29+G24+G19+G11+G51+G105+G61+G68+G93+G109)</f>
        <v>1034694</v>
      </c>
      <c r="H111" s="95">
        <f>SUM(H105+H93+H72+H68+H61+H51+H38+H24+H19+H11+H109+H29)</f>
        <v>0</v>
      </c>
      <c r="I111" s="95">
        <f>SUM(I11+I19+I24+I29+I38+I51+I61+I68+I72+I93+I105+I109)</f>
        <v>0</v>
      </c>
      <c r="J111" s="95">
        <f>SUM(J105+J93+J72+J68+J61+J51+J38+J24+J19+J11+J109+J29)</f>
        <v>116852</v>
      </c>
      <c r="K111" s="95">
        <f>SUM(K105+K93+K72+K68+K61+K51+K38+K24+K19+K11+K109+K29)</f>
        <v>0</v>
      </c>
      <c r="L111" s="95">
        <f>SUM(L11+L19+L24+L29+L38+L51+L61+L68+L72+L92+L105+L109)</f>
        <v>75190.18</v>
      </c>
      <c r="M111" s="95">
        <f>SUM(M105+M93+M72+M68+M61+M51+M38+M24+M19+M11+M109+M29)</f>
        <v>0</v>
      </c>
      <c r="N111" s="95">
        <f>SUM(N105+N93+N72+N68+N61+N51+N38+N24+N19+N11+N109+N29)</f>
        <v>77470</v>
      </c>
      <c r="O111" s="95">
        <f>SUM(O105+O93+O72+O68+O61+O51+O38+O29+O24+O19+O11)</f>
        <v>226550</v>
      </c>
      <c r="P111" s="95">
        <f>SUM(P105+P93+P72+P68+P61+P51+P38+P24+P19+P11+P109+P29)</f>
        <v>0</v>
      </c>
      <c r="Q111" s="95">
        <f>SUM(Q105+Q93+Q72+Q68+Q61+Q51+Q38+Q24+Q19+Q11+Q109+Q29)</f>
        <v>54230</v>
      </c>
      <c r="R111" s="95">
        <f>SUM(R105+R93+R72+R68+R61+R51+R38+R24+R19+R11+R109+R29)</f>
        <v>0</v>
      </c>
      <c r="S111" s="95">
        <f>SUM(S11+S19+S24+S29+S38+S51+S61+S68+S72+S93+S105)</f>
        <v>138000</v>
      </c>
      <c r="T111" s="222">
        <f>SUM(B111:S111)</f>
        <v>3217309.6</v>
      </c>
      <c r="U111" s="105"/>
      <c r="V111" s="105"/>
      <c r="W111" s="221"/>
    </row>
  </sheetData>
  <sheetProtection/>
  <mergeCells count="29">
    <mergeCell ref="D80:E80"/>
    <mergeCell ref="F80:G80"/>
    <mergeCell ref="T80:T81"/>
    <mergeCell ref="Q80:R80"/>
    <mergeCell ref="D43:E43"/>
    <mergeCell ref="Q43:R43"/>
    <mergeCell ref="T4:T5"/>
    <mergeCell ref="J4:K4"/>
    <mergeCell ref="Q4:R4"/>
    <mergeCell ref="L4:M4"/>
    <mergeCell ref="N4:O4"/>
    <mergeCell ref="T43:T44"/>
    <mergeCell ref="F4:G4"/>
    <mergeCell ref="A42:T42"/>
    <mergeCell ref="A1:T1"/>
    <mergeCell ref="A2:T2"/>
    <mergeCell ref="A3:T3"/>
    <mergeCell ref="B4:C4"/>
    <mergeCell ref="D4:E4"/>
    <mergeCell ref="B43:C43"/>
    <mergeCell ref="J80:K80"/>
    <mergeCell ref="N80:O80"/>
    <mergeCell ref="L80:M80"/>
    <mergeCell ref="N43:O43"/>
    <mergeCell ref="L43:M43"/>
    <mergeCell ref="J43:K43"/>
    <mergeCell ref="A79:T79"/>
    <mergeCell ref="B80:C80"/>
    <mergeCell ref="F43:G43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2006-01-21T07:14:19Z</cp:lastPrinted>
  <dcterms:created xsi:type="dcterms:W3CDTF">2004-02-04T07:28:13Z</dcterms:created>
  <dcterms:modified xsi:type="dcterms:W3CDTF">2014-06-13T04:57:16Z</dcterms:modified>
  <cp:category/>
  <cp:version/>
  <cp:contentType/>
  <cp:contentStatus/>
</cp:coreProperties>
</file>