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85" tabRatio="598" activeTab="0"/>
  </bookViews>
  <sheets>
    <sheet name="บันทึกข้อความ" sheetId="1" r:id="rId1"/>
    <sheet name="งบทดลอง" sheetId="2" r:id="rId2"/>
    <sheet name="หมาย1" sheetId="3" r:id="rId3"/>
    <sheet name="หมาย2" sheetId="4" r:id="rId4"/>
    <sheet name="หมายเหตุ3" sheetId="5" r:id="rId5"/>
    <sheet name="หมายเหตุ4" sheetId="6" r:id="rId6"/>
    <sheet name="กระทบยอดเงินฝาก" sheetId="7" r:id="rId7"/>
    <sheet name="รับ-จ่ายเงินสด" sheetId="8" r:id="rId8"/>
    <sheet name="กระดาษทำการกระทบยอด" sheetId="9" r:id="rId9"/>
  </sheets>
  <definedNames>
    <definedName name="_xlfn.BAHTTEXT" hidden="1">#NAME?</definedName>
    <definedName name="_xlnm.Print_Area" localSheetId="7">'รับ-จ่ายเงินสด'!$A$1:$H$111</definedName>
    <definedName name="_xlnm.Print_Titles" localSheetId="8">'กระดาษทำการกระทบยอด'!$4:$5</definedName>
  </definedNames>
  <calcPr fullCalcOnLoad="1"/>
</workbook>
</file>

<file path=xl/sharedStrings.xml><?xml version="1.0" encoding="utf-8"?>
<sst xmlns="http://schemas.openxmlformats.org/spreadsheetml/2006/main" count="425" uniqueCount="300">
  <si>
    <t xml:space="preserve">บัญชีเงินฝากธนาคารกรุงไทย (ออมทรัพย์) </t>
  </si>
  <si>
    <t>รับ</t>
  </si>
  <si>
    <t>จ่าย</t>
  </si>
  <si>
    <t>คงเหลือ</t>
  </si>
  <si>
    <t>ลูกหนี้เงินยืมเงินสะสม</t>
  </si>
  <si>
    <t>ลูกหนี้เงินยืมเงินงบประมาณ</t>
  </si>
  <si>
    <t>บัญชีเงินทุนสำรองเงินสะสม</t>
  </si>
  <si>
    <t>รายจ่ายอื่น</t>
  </si>
  <si>
    <t xml:space="preserve">     ชื่อองค์การบริหารส่วนตำบลโคกตูม</t>
  </si>
  <si>
    <t xml:space="preserve">      อำเภอประโคนชัย  จังหวัดบุรีรัมย์</t>
  </si>
  <si>
    <t>รายงาน รับ - จ่าย เงินสด</t>
  </si>
  <si>
    <t>จนถึงปัจจุบัน</t>
  </si>
  <si>
    <t>เกิดขึ้นจริง</t>
  </si>
  <si>
    <t>รหัส</t>
  </si>
  <si>
    <t>บาท</t>
  </si>
  <si>
    <t>บัญชี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</si>
  <si>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</si>
  <si>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</si>
  <si>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</si>
  <si>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</si>
  <si>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</si>
  <si>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</si>
  <si>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</si>
  <si>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</si>
  <si>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</si>
  <si>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</si>
  <si>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</si>
  <si>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</si>
  <si>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เงินเดือน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</si>
  <si>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</si>
  <si>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</si>
  <si>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</si>
  <si>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</si>
  <si>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</si>
  <si>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รายจ่ายค้างจ่าย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</si>
  <si>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</si>
  <si>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</si>
  <si>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</si>
  <si>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</si>
  <si>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</si>
  <si>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หมวด/ประเภท</t>
  </si>
  <si>
    <t xml:space="preserve">   องค์การบริหารส่วนตำบลโคกตูม  อำเภอประโคนชัย  จังหวัดบุรีรัมย์</t>
  </si>
  <si>
    <t>รายการ</t>
  </si>
  <si>
    <t>รหัสบัญชี</t>
  </si>
  <si>
    <t>เดบิต</t>
  </si>
  <si>
    <t>เครดิต</t>
  </si>
  <si>
    <t>บัญชีเงินสด</t>
  </si>
  <si>
    <t>บัญชีเงินฝากธนาคาร ธ.ก.ส. (ออมทรัพย์)</t>
  </si>
  <si>
    <t>บัญชีเงินฝากธนาคาร ธ.ก.ส. (ประจำ)</t>
  </si>
  <si>
    <t>บัญชีเงินฝากธนาคาร ธ.ก.ส. (ออมทรัพย์) บัญชีที่ 2</t>
  </si>
  <si>
    <t>บัญชีงบกลาง</t>
  </si>
  <si>
    <t>บัญชีเงินเดือน</t>
  </si>
  <si>
    <t>บัญชีค่าตอบแทน</t>
  </si>
  <si>
    <t>บัญชีค่าใช้สอย</t>
  </si>
  <si>
    <t>บัญชีค่าวัสดุ</t>
  </si>
  <si>
    <t>บัญชีค่าครุภัณฑ์</t>
  </si>
  <si>
    <t>บัญชีค่าสาธารณูปโภค</t>
  </si>
  <si>
    <t>บัญชีเงินอุดหนุน</t>
  </si>
  <si>
    <t>บัญชีที่ดินและสิ่งก่อสร้าง</t>
  </si>
  <si>
    <t>บัญชีเงินสะสม</t>
  </si>
  <si>
    <t>องค์การบริหารส่วนตำบลโคกตูม  อำเภอประโคนชัย  จังหวัดบุรีรัมย์</t>
  </si>
  <si>
    <t>นายกองค์การบริหารส่วนตำบลโคกตูม</t>
  </si>
  <si>
    <t>บัญชีเงินฝากธนาคารกรุงไทย (กระแสรายวัน)</t>
  </si>
  <si>
    <t>เงินค่าใช้จ่ายภาษีบำรุงท้องที่ 5%</t>
  </si>
  <si>
    <t>เงินส่วนลดภาษีบำรุงท้องที่ 6%</t>
  </si>
  <si>
    <t>เงินภาษีหัก ณ ที่จ่าย</t>
  </si>
  <si>
    <t xml:space="preserve">       งบทดลอง </t>
  </si>
  <si>
    <t>ประมาณการ</t>
  </si>
  <si>
    <t>รายรับจริง</t>
  </si>
  <si>
    <t>รวมรายรับทั้งสิ้น</t>
  </si>
  <si>
    <t>รายได้จัดเก็บเอง (ยอดรวม)</t>
  </si>
  <si>
    <t>หมวดภาษีอากร  (ยอดรวม)</t>
  </si>
  <si>
    <t>หมวดค่าธรรมเนียม ค่าปรับและใบอนุญาต(ยอดรวม)</t>
  </si>
  <si>
    <t xml:space="preserve"> หมวดรายได้จากทรัพย์สิน (ยอดรวม)</t>
  </si>
  <si>
    <t>หมวดรายได้จากสาธารณูปโภคและการพาณิชย์(ยอดรวม)</t>
  </si>
  <si>
    <t>หมวดรายได้เบ็ดเตล็ด (ยอดรวม)</t>
  </si>
  <si>
    <t>รายได้ที่รัฐบาลเก็บและจัดสรรให้ อบต. (ยอดรวม)</t>
  </si>
  <si>
    <t>รายได้ที่รัฐบาลอุดหนุนให้ อบต. (ยอดรวม)</t>
  </si>
  <si>
    <t>หมวดเงินอุดหนุน (ยอดรวม)</t>
  </si>
  <si>
    <t>เดือนนี้</t>
  </si>
  <si>
    <t>เงินรายได้แผ่นดิน</t>
  </si>
  <si>
    <t>บัญชีเงินฝากธนาคารออมสิน (ประจำ)</t>
  </si>
  <si>
    <t>รวมเป็นเงินทั้งสิ้น</t>
  </si>
  <si>
    <t>จำนวนเงิน</t>
  </si>
  <si>
    <t>หมายเหตุ</t>
  </si>
  <si>
    <t>บัญชีลูกหนี้เงินยืมเงินงบประมาณ</t>
  </si>
  <si>
    <t>บัญชีรายจ่ายอื่น</t>
  </si>
  <si>
    <t>องค์การบริหารส่วนตำบลโคกตูม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</si>
  <si>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</si>
  <si>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</si>
  <si>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</si>
  <si>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</si>
  <si>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</si>
  <si>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</si>
  <si>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</si>
  <si>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t xml:space="preserve">  </t>
  </si>
  <si>
    <t>บวก : หรือ (หัก) รายการกระทบยอดอื่น ๆ</t>
  </si>
  <si>
    <t>ผู้จัดทำ</t>
  </si>
  <si>
    <t>ผู้ตรวจสอบ</t>
  </si>
  <si>
    <t>ลงชื่อ.....................................</t>
  </si>
  <si>
    <t>ลงชื่อ.........................................</t>
  </si>
  <si>
    <t>รายจ่ายรอจ่าย</t>
  </si>
  <si>
    <t>ค่าตอบแทน</t>
  </si>
  <si>
    <t>เงินสะสม</t>
  </si>
  <si>
    <t>ค่าตอบแทนหน่วยการแพทย์ฉุกเฉิน</t>
  </si>
  <si>
    <t>รายได้ที่รัฐบาลอุดหนุนให้โดยระบุวัตถุประสงค์ (ยอดรวม)</t>
  </si>
  <si>
    <t>หมวดเงินอุดหนุนเฉพาะกิจ (ยอดรวม)</t>
  </si>
  <si>
    <t>เงินอุดหนุนเฉพาะกิจ</t>
  </si>
  <si>
    <t>รายรับจริงประกอบงบทดลองและรายงานรับ - จ่ายเงินสด</t>
  </si>
  <si>
    <t>รายละเอียดประกอบงบทดลองและรายงานรับ - จ่ายเงินสด</t>
  </si>
  <si>
    <t>กระดาษทำการกระทบยอด</t>
  </si>
  <si>
    <t>แผนงาน/งาน</t>
  </si>
  <si>
    <t>00110</t>
  </si>
  <si>
    <t>00120</t>
  </si>
  <si>
    <t>00210</t>
  </si>
  <si>
    <t>00220</t>
  </si>
  <si>
    <t>00230</t>
  </si>
  <si>
    <t>00240</t>
  </si>
  <si>
    <t>00250</t>
  </si>
  <si>
    <t>00260</t>
  </si>
  <si>
    <t>00320</t>
  </si>
  <si>
    <t>00410</t>
  </si>
  <si>
    <t>รวม</t>
  </si>
  <si>
    <t>00111</t>
  </si>
  <si>
    <t>00113</t>
  </si>
  <si>
    <t>00121</t>
  </si>
  <si>
    <t>00123</t>
  </si>
  <si>
    <t>00211</t>
  </si>
  <si>
    <t>00212</t>
  </si>
  <si>
    <t>00223</t>
  </si>
  <si>
    <t>00232</t>
  </si>
  <si>
    <t>00241</t>
  </si>
  <si>
    <t>00242</t>
  </si>
  <si>
    <t>00252</t>
  </si>
  <si>
    <t>00262</t>
  </si>
  <si>
    <t>00263</t>
  </si>
  <si>
    <t>00312</t>
  </si>
  <si>
    <t>00321</t>
  </si>
  <si>
    <t>00322</t>
  </si>
  <si>
    <t>00411</t>
  </si>
  <si>
    <t>รวมเดือนนี้</t>
  </si>
  <si>
    <t>รวมตั้งแต่ต้นปี</t>
  </si>
  <si>
    <t>00310</t>
  </si>
  <si>
    <t>ประกาศองค์การบริหารส่วนตำบลโคกตูม</t>
  </si>
  <si>
    <t>************************</t>
  </si>
  <si>
    <t>ตามระเบียบกระทรวงมหาดไทยว่าด้วยการรับเงิน  การเบิกจ่ายเงิน  การฝากเงินและการตรวจเงินของ</t>
  </si>
  <si>
    <t>องค์กรปกครองส่วนท้องถิ่น พ.ศ. 2547 ข้อ 99 ให้หัวหน้าหน่วยงานคลังทำรายงานแสดงรายรับรายจ่ายและงบทดลอง</t>
  </si>
  <si>
    <t>เป็นรายเดือนเสนอปลัดองค์กรปกครองส่วนท้องถิ่นเพื่อนำเสนอผู้บริหารท้องถิ่นเพื่อทราบในฐานะหัวหน้าผู้บังคับ</t>
  </si>
  <si>
    <t>บัญชา</t>
  </si>
  <si>
    <t>ดังนั้น  องค์การบริหารส่วนตำบลโคกตูม  จึงขอประกาศรายงานแสดงรายรับรายจ่ายและงบทดลอง</t>
  </si>
  <si>
    <t>บัญชีเงินรายรับ (หมายเหตุ 1)</t>
  </si>
  <si>
    <t>บัญชีเงินรับฝาก (หมายเหตุ 2)</t>
  </si>
  <si>
    <t>รายจ่ายผัดส่งใบสำคัญ</t>
  </si>
  <si>
    <t>รายจ่ายตามงบประมาณ (จ่ายจากรายรับ)</t>
  </si>
  <si>
    <t>เงินรับฝาก (หมายเหตุ 2)</t>
  </si>
  <si>
    <t>ลูกหนี้เงินยืมงินสะสม</t>
  </si>
  <si>
    <t xml:space="preserve">ธนาคารกรุงไทย จำกัด (มหาชน)  </t>
  </si>
  <si>
    <t>บัญชีลูกหนี้ - โครงการเศรษฐกิจชุมชน</t>
  </si>
  <si>
    <t>ธนาคารเพื่อการเกษตรและสหกรณ์การเกษตร</t>
  </si>
  <si>
    <t>ลูกหนี้โครงการเศรษฐกิจชุมชน</t>
  </si>
  <si>
    <t>เงินทุนสำรองเงินสะสม</t>
  </si>
  <si>
    <t>เงินอุดหนุนเฉพาะกิจ (งบกลาง)</t>
  </si>
  <si>
    <r>
      <t>รายรับ</t>
    </r>
    <r>
      <rPr>
        <b/>
        <sz val="13"/>
        <rFont val="Angsana New"/>
        <family val="1"/>
      </rPr>
      <t xml:space="preserve"> (หมายเหตุ 1)</t>
    </r>
  </si>
  <si>
    <t>โครงการเศรษฐกิจชุมชนฯ</t>
  </si>
  <si>
    <t>บัญชีลูกหนี้เงินยืมเงินสะสม</t>
  </si>
  <si>
    <t>บัญชีรายจ่ายผัดส่งใบสำคัญ</t>
  </si>
  <si>
    <t>เลขที่บัญชี  316-0-00650-6</t>
  </si>
  <si>
    <t>00251</t>
  </si>
  <si>
    <t>บัญชีรายจ่ายค้างจ่าย (หมายเหตุ3)</t>
  </si>
  <si>
    <t>บัญชีรายจ่ายรอจ่าย (หมายเหตุ 4)</t>
  </si>
  <si>
    <t>เบิกจ่ายแล้ว</t>
  </si>
  <si>
    <t>ก่อหนี้ผูกพัน</t>
  </si>
  <si>
    <t>ไม่ก่อหนี้ผูกพัน</t>
  </si>
  <si>
    <t>ค่าใช้สอย/ -ค่าใช้จ่ายในการจ้างเหมาบริการทำความสะอาดบริเวณ</t>
  </si>
  <si>
    <t>ค่าวัสดุ/งานบ้านงานครัว อาหารเสริม(นม)โรงเรียน</t>
  </si>
  <si>
    <t>ค่าวัสดุ/ค่าวัสดุเชื้อเพลิงและหล่อลื่น</t>
  </si>
  <si>
    <t>ครุภัณฑ์/ครุภัณฑ์คอมพิวเตอร์  - สำนักงานปลัด</t>
  </si>
  <si>
    <t>ค่าตอบแทน/เงินประโยชน์ตอบแทนอื่นกรณีพิเศษพนักงานส่วนตำบล - สำนักงานปลัด</t>
  </si>
  <si>
    <t>ค่าตอบแทน/เงินประโยชน์ตอบแทนอื่นกรณีพิเศษพนักงานจ้างฯ - สำนักงานปลัด</t>
  </si>
  <si>
    <t>ค่าตอบแทน/เงินประโยชน์ตอบแทนอื่นกรณีพิเศษพนักงานส่วนตำบล - ส่วนการคลัง</t>
  </si>
  <si>
    <t>ค่าตอบแทน/เงินประโยชน์ตอบแทนอื่นกรณีพิเศษพนักงานจ้างฯ- ส่วนการคลัง</t>
  </si>
  <si>
    <t>ค่าตอบแทน/เงินประโยชน์ตอบแทนอื่นกรณีพิเศษพนักงานส่วนตำบล - ส่วนโยธา</t>
  </si>
  <si>
    <t>ค่าตอบแทน/เงินประโยชน์ตอบแทนอื่นกรณีพิเศษพนักงานส่วนตำบล - ส่วนการศึกษา</t>
  </si>
  <si>
    <t>ค่าตอบแทน/เงินประโยชน์ตอบแทนอื่นกรณีพิเศษพนักงานจ้างฯ - ส่วนการศึกษา</t>
  </si>
  <si>
    <t>ค่าตอบแทน/เงินประโยชน์ตอบแทนอื่นกรณีพิเศษพนักงานส่วนตำบล - ส่วนสวัสดิการฯ</t>
  </si>
  <si>
    <t>ค่าตอบแทน/เงินประโยชน์ตอบแทนอื่นกรณีพิเศษพนักงานจ้าง - ส่วนสวัสดิการฯ</t>
  </si>
  <si>
    <t>ค่าตอบแทน/เงินประโยชน์ตอบแทนอื่นกรณีพิเศษพนักงานส่วนตำบล - ส่วนส่งเสริมการเกษตร</t>
  </si>
  <si>
    <t>ตำแหน่ง ผู้อำนวยการกองคลัง</t>
  </si>
  <si>
    <t>บัญชีครุภัณฑ์</t>
  </si>
  <si>
    <t>ค่าใช้สอย/ -ค่าใช้จ่ายในการจ้างเหมาบริการดูแลเด็กอนุบาลและประถมวัย</t>
  </si>
  <si>
    <t>ค่าวัสดุ/ค่าวัสดุคอมพิวเตอร์-สำนักงานปลัด</t>
  </si>
  <si>
    <t>ที่ดินและสิ่งก่อสร้าง / อาคารศูนย์พัฒนาเด็กเล็กตำบลโคกตูม</t>
  </si>
  <si>
    <t>ที่ดินและสิ่งก่อสร้าง/โครงการปรับปรุงอาคารเอนกประสงค์บริเวณที่ทำการ อบต.</t>
  </si>
  <si>
    <t>ที่ดินและสิ่งก่อสร้าง/โครงการปรับปรุงถนนผิวจราจรหินคลุก ม.2</t>
  </si>
  <si>
    <t>ที่ดินและสิ่งก่อสร้าง/โครงการก่อสร้างถนนผิวจราจรคอนกรีตเสริมเหล็ก ม.1</t>
  </si>
  <si>
    <t>ที่ดินและสิ่งก่อสร้าง/โครงการก่อสร้างถนนผิวจราจรคอนกรีตเสริมเหล็ก ม.3</t>
  </si>
  <si>
    <t>ที่ดินและสิ่งก่อสร้าง/โครงการก่อสร้างถนนผิวจราจรคอนกรีตเสริมเหล็ก ม.4</t>
  </si>
  <si>
    <t>ที่ดินและสิ่งก่อสร้าง/โครงการก่อสร้างถนนผิวจราจรคอนกรีตเสริมเหล็ก ม.6</t>
  </si>
  <si>
    <t>ที่ดินและสิ่งก่อสร้าง/โครงการก่อสร้างถนนผิวจราจรคอนกรีตเสริมเหล็ก ม.7</t>
  </si>
  <si>
    <t>ที่ดินและสิ่งก่อสร้าง/โครงการก่อสร้างถนนผิวจราจรคอนกรีตเสริมเหล็ก ม.9</t>
  </si>
  <si>
    <t>ที่ดินและสิ่งก่อสร้าง/โครงการก่อสร้างถนนผิวจราจรคอนกรีตเสริมเหล็ก ม.10</t>
  </si>
  <si>
    <t>ที่ดินและสิ่งก่อสร้าง/โครงการขุดคลองส่งน้ำ ม.5</t>
  </si>
  <si>
    <t>ที่ดินและสิ่งก่อสร้าง/โครงการวางท่อระบายน้ำคอนกรีตเสริมเหล็ก ม.8</t>
  </si>
  <si>
    <t>เลขที่บัญชี  01-340-2-48197-3</t>
  </si>
  <si>
    <t>รายละเอียด  (หัก)  เช็คที่อนุมัติแล้วผู้มีสิทธิยังไม่มารับ</t>
  </si>
  <si>
    <t xml:space="preserve">           ตำแหน่ง  ผู้อำนวยการกองคลัง</t>
  </si>
  <si>
    <t>เลขที่บัญชี  01-340-2-58453-3</t>
  </si>
  <si>
    <t>รายละเอียด  (หัก)  ดอกเบี้ยเงินฝากยังไม่บันทึกบัญชี</t>
  </si>
  <si>
    <t xml:space="preserve">          ตำแหน่ง นักวิชาการเงินและบัญชี</t>
  </si>
  <si>
    <t>เงินอุดหนุนเฉพาะกิจ (ค่าจ้างชั่วคราว)</t>
  </si>
  <si>
    <t>เงินอุดหนุนเฉพาะกิจ (ค่าใช้สอย)</t>
  </si>
  <si>
    <t>เงินอุดหนุนเฉพาะกิจ (ค่าวัสดุ)</t>
  </si>
  <si>
    <t>เงินอุดหนุนเฉพาะกิจ (ครุภัณฑ์)</t>
  </si>
  <si>
    <t>ปีงบประมาณ 2557</t>
  </si>
  <si>
    <t>ภาษีโรงเรือนและที่ดิน</t>
  </si>
  <si>
    <t xml:space="preserve">ภาษีบำรุงท้องที่ </t>
  </si>
  <si>
    <t>ภาษีป้าย</t>
  </si>
  <si>
    <t>ค่าธรรมเนียมเกี่ยวกับใบอนุญาตการขายสุรา</t>
  </si>
  <si>
    <t>ค่าธรรมเนียมจดทะเบียนพาณิชย์</t>
  </si>
  <si>
    <t>ค่าปรับผิดสัญญา</t>
  </si>
  <si>
    <t>ดอกเบี้ยเงินฝากธนาคาร</t>
  </si>
  <si>
    <t>รายได้เบ็ดเตล็ดอื่นๆ</t>
  </si>
  <si>
    <t>ค่าแบบแปลน</t>
  </si>
  <si>
    <t>ภาษีและค่าธรรมเนียมรถยนต์หรือล้อเลื่อน</t>
  </si>
  <si>
    <t>ภาษีมูลค่าเพิ่ม 1 ใน 9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</si>
  <si>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</si>
  <si>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</si>
  <si>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</si>
  <si>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</si>
  <si>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ค่าภาคหลวงปิโตเลียม</t>
  </si>
  <si>
    <t>ภาษีมูลค่าเพิ่มตาม พ.ร.บ. กำหนดแผนฯ</t>
  </si>
  <si>
    <t>ค่าธรรมเนียมจดทะเบียนสิทธิและนิติกรรมตามประมวลกฎหมายที่ดิน</t>
  </si>
  <si>
    <t xml:space="preserve"> เงินอุดหนุนทั่วไป</t>
  </si>
  <si>
    <t xml:space="preserve"> เงินอุดหนุนเฉพาะกิจโครงการสร้างหลักประกันรายได้ผู้สูงอายุ</t>
  </si>
  <si>
    <t xml:space="preserve"> เงินอุดหนุนเฉพาะกิจโครงการสร้างหลักประกันรายได้ผู้พิการ</t>
  </si>
  <si>
    <t xml:space="preserve"> เงินอุดหนุนเฉพาะกิจสำหรับศูนย์พัฒนาเด็กเล็ก</t>
  </si>
  <si>
    <t xml:space="preserve"> เงินอุดหนุนเฉพาะกิจสนับสนุนครุภัณฑ์การศึกษาศูนย์พัฒนาเด็กเล็ก</t>
  </si>
  <si>
    <t xml:space="preserve"> เงินอุดหนุนเฉพาะกิจสนับสนุนค่าใช้จ่ายจัดการเรียนการสอนศูนย์พัฒนาเด็กเล็ก</t>
  </si>
  <si>
    <t xml:space="preserve"> เงินอุดหนุนเฉพาะกิจตามโครงการบำบัดและฟื้นฟูผู้ติดยาเสพติด</t>
  </si>
  <si>
    <t>เงินประกันสัญญา</t>
  </si>
  <si>
    <t>บัญชีเงินฝากจังหวัด</t>
  </si>
  <si>
    <t>411000</t>
  </si>
  <si>
    <t>412000</t>
  </si>
  <si>
    <t>413000</t>
  </si>
  <si>
    <t>414000</t>
  </si>
  <si>
    <t>415000</t>
  </si>
  <si>
    <t>416000</t>
  </si>
  <si>
    <t>420000</t>
  </si>
  <si>
    <t>430000</t>
  </si>
  <si>
    <t>230100</t>
  </si>
  <si>
    <t>110605</t>
  </si>
  <si>
    <t>110606</t>
  </si>
  <si>
    <t>300000</t>
  </si>
  <si>
    <t>320000</t>
  </si>
  <si>
    <t>440000</t>
  </si>
  <si>
    <t>110604</t>
  </si>
  <si>
    <t>510000</t>
  </si>
  <si>
    <t>521000</t>
  </si>
  <si>
    <t>531000</t>
  </si>
  <si>
    <t>532000</t>
  </si>
  <si>
    <t>533000</t>
  </si>
  <si>
    <t>534000</t>
  </si>
  <si>
    <t>541000</t>
  </si>
  <si>
    <t>542000</t>
  </si>
  <si>
    <t>560000</t>
  </si>
  <si>
    <t>210402</t>
  </si>
  <si>
    <t>210200</t>
  </si>
  <si>
    <t>210500</t>
  </si>
  <si>
    <t>710000</t>
  </si>
  <si>
    <t>721000</t>
  </si>
  <si>
    <t>732000</t>
  </si>
  <si>
    <t>733000</t>
  </si>
  <si>
    <t>741000</t>
  </si>
  <si>
    <t>550000</t>
  </si>
  <si>
    <t>522000</t>
  </si>
  <si>
    <t>(นายสมบูรณ์  สิทธิสังข์)</t>
  </si>
  <si>
    <t>เงินที่มีผู้อุทิศให้</t>
  </si>
  <si>
    <t xml:space="preserve">รายละเอียด  (หัก)  </t>
  </si>
  <si>
    <t>เงินชดเชยกรณีสำรองจ่ายของพนักงานส่วนท้องถิ่นรายเดือน</t>
  </si>
  <si>
    <t>เรื่อง  รายงานแสดงรายรับรายจ่ายและงบทดลอง  ประจำเดือนเมษายน  2557</t>
  </si>
  <si>
    <t>ประจำเดือนเมษายน พ.ศ. 2557 ตามที่แนบท้ายประกาศนี้</t>
  </si>
  <si>
    <t>ประจำเดือน เมษายน 2557</t>
  </si>
  <si>
    <t>ประจำเดือน เมษายน  2557</t>
  </si>
  <si>
    <t>ยอดคงเหลือตามรายงานธนาคาร ณ วันที่  30  เมษายน  2557</t>
  </si>
  <si>
    <t>ยอดคงเหลือตามบัญชี ณ วันที่  30   เมษายน  2557</t>
  </si>
  <si>
    <t>วันที่  30  เมษายน  2557</t>
  </si>
  <si>
    <t>ยอดคงเหลือตามบัญชี ณ วันที่ วันที่  30  เมษายน  2557</t>
  </si>
  <si>
    <t>ยอดคงเหลือตามบัญชี ณ วันที่  30  เมษายน  2557</t>
  </si>
  <si>
    <t xml:space="preserve">       ณ  วันที่  30  เมษายน  พ.ศ.  2557</t>
  </si>
  <si>
    <t>บัญชีเงินรายรับ  (หมายเหตุ 1)  ณ  วันที่ 30  เมษายน  พ.ศ. 2557</t>
  </si>
  <si>
    <t>บัญชีเงินรับฝาก  (หมายเหตุ 2)  ณ  วันที่  30  เมษายน พ.ศ. 2557</t>
  </si>
  <si>
    <t>บัญชีรายจ่ายค้างจ่าย   (หมายเหตุ3)   ณ  วันที่  30  เมษายน  พ.ศ. 2557</t>
  </si>
  <si>
    <t>บัญชีรายจ่ายรอจ่าย  (หมายเหตุ 4)   ณ  วันที่  30  เมษายน  พ.ศ. 2557</t>
  </si>
  <si>
    <t xml:space="preserve"> 3 เมษายน 2557</t>
  </si>
  <si>
    <t>0780798</t>
  </si>
  <si>
    <t>0780801</t>
  </si>
  <si>
    <t xml:space="preserve">  30 เมษายน 2557</t>
  </si>
  <si>
    <t xml:space="preserve"> 28 เมษายน 2557</t>
  </si>
  <si>
    <t>0127169</t>
  </si>
  <si>
    <t>ประกาศ  ณ  วันที่     2     พฤษภาคม  พ.ศ.  2557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</si>
</sst>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71">
    <font>
      <sz val="10"/>
      <name val="Arial"/>
      <family val="0"/>
    </font>
    <font>
      <sz val="11"/>
      <color indexed="8"/>
      <name val="Tahoma"/>
      <family val="2"/>
    </font>
    <font>
      <sz val="16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sz val="11"/>
      <name val="Angsana New"/>
      <family val="1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name val="Angsana New"/>
      <family val="1"/>
    </font>
    <font>
      <b/>
      <sz val="16"/>
      <name val="Angsana New"/>
      <family val="1"/>
    </font>
    <font>
      <u val="single"/>
      <sz val="16"/>
      <name val="Angsana New"/>
      <family val="1"/>
    </font>
    <font>
      <b/>
      <sz val="22"/>
      <name val="Angsana New"/>
      <family val="1"/>
    </font>
    <font>
      <sz val="8"/>
      <name val="Arial"/>
      <family val="2"/>
    </font>
    <font>
      <u val="single"/>
      <sz val="11"/>
      <name val="Angsana New"/>
      <family val="1"/>
    </font>
    <font>
      <sz val="13"/>
      <name val="Angsana New"/>
      <family val="1"/>
    </font>
    <font>
      <u val="single"/>
      <sz val="14"/>
      <name val="Angsana New"/>
      <family val="1"/>
    </font>
    <font>
      <b/>
      <sz val="13"/>
      <name val="Angsana New"/>
      <family val="1"/>
    </font>
    <font>
      <b/>
      <u val="single"/>
      <sz val="13"/>
      <name val="Angsana New"/>
      <family val="1"/>
    </font>
    <font>
      <b/>
      <sz val="12"/>
      <name val="Angsana New"/>
      <family val="1"/>
    </font>
    <font>
      <sz val="9"/>
      <name val="Angsana New"/>
      <family val="1"/>
    </font>
    <font>
      <sz val="16"/>
      <name val="TH SarabunIT๙"/>
      <family val="2"/>
    </font>
    <font>
      <sz val="15"/>
      <name val="Angsana New"/>
      <family val="1"/>
    </font>
    <font>
      <sz val="8"/>
      <name val="Angsana New"/>
      <family val="1"/>
    </font>
    <font>
      <b/>
      <sz val="10"/>
      <name val="Angsana New"/>
      <family val="1"/>
    </font>
    <font>
      <sz val="14"/>
      <color indexed="10"/>
      <name val="Angsana New"/>
      <family val="1"/>
    </font>
    <font>
      <sz val="14"/>
      <color indexed="21"/>
      <name val="Angsana New"/>
      <family val="1"/>
    </font>
    <font>
      <sz val="14"/>
      <color indexed="57"/>
      <name val="Angsana New"/>
      <family val="1"/>
    </font>
    <font>
      <sz val="14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dotted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 style="thin"/>
      <bottom style="double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/>
      <top style="dotted"/>
      <bottom/>
    </border>
    <border>
      <left/>
      <right/>
      <top/>
      <bottom style="dotted"/>
    </border>
    <border>
      <left style="thin"/>
      <right/>
      <top/>
      <bottom style="dotted"/>
    </border>
    <border>
      <left/>
      <right/>
      <top style="double"/>
      <bottom/>
    </border>
    <border>
      <left/>
      <right/>
      <top/>
      <bottom style="double"/>
    </border>
    <border>
      <left/>
      <right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1" fillId="20" borderId="0" applyNumberFormat="0" applyBorder="0" applyAlignment="0" applyProtection="0"/>
    <xf numFmtId="0" fontId="16" fillId="21" borderId="1" applyNumberFormat="0" applyAlignment="0" applyProtection="0"/>
    <xf numFmtId="0" fontId="1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0" fillId="2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4" fillId="25" borderId="5" applyNumberFormat="0" applyAlignment="0" applyProtection="0"/>
    <xf numFmtId="0" fontId="0" fillId="26" borderId="6" applyNumberFormat="0" applyFont="0" applyAlignment="0" applyProtection="0"/>
    <xf numFmtId="0" fontId="12" fillId="27" borderId="0" applyNumberFormat="0" applyBorder="0" applyAlignment="0" applyProtection="0"/>
    <xf numFmtId="0" fontId="0" fillId="27" borderId="7" applyNumberFormat="0" applyFont="0" applyAlignment="0" applyProtection="0"/>
    <xf numFmtId="0" fontId="15" fillId="28" borderId="8" applyNumberFormat="0" applyAlignment="0" applyProtection="0"/>
    <xf numFmtId="0" fontId="6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56" fillId="29" borderId="10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1" applyNumberFormat="0" applyAlignment="0" applyProtection="0"/>
    <xf numFmtId="0" fontId="61" fillId="0" borderId="12" applyNumberFormat="0" applyFill="0" applyAlignment="0" applyProtection="0"/>
    <xf numFmtId="0" fontId="62" fillId="31" borderId="0" applyNumberFormat="0" applyBorder="0" applyAlignment="0" applyProtection="0"/>
    <xf numFmtId="0" fontId="63" fillId="32" borderId="10" applyNumberFormat="0" applyAlignment="0" applyProtection="0"/>
    <xf numFmtId="0" fontId="64" fillId="33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13" applyNumberFormat="0" applyFill="0" applyAlignment="0" applyProtection="0"/>
    <xf numFmtId="0" fontId="66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67" fillId="29" borderId="14" applyNumberFormat="0" applyAlignment="0" applyProtection="0"/>
    <xf numFmtId="0" fontId="0" fillId="41" borderId="15" applyNumberFormat="0" applyFont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0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43" fontId="2" fillId="0" borderId="20" xfId="55" applyFont="1" applyBorder="1" applyAlignment="1">
      <alignment/>
    </xf>
    <xf numFmtId="43" fontId="2" fillId="0" borderId="19" xfId="55" applyFont="1" applyBorder="1" applyAlignment="1">
      <alignment/>
    </xf>
    <xf numFmtId="43" fontId="2" fillId="0" borderId="19" xfId="55" applyFont="1" applyBorder="1" applyAlignment="1">
      <alignment horizontal="right"/>
    </xf>
    <xf numFmtId="43" fontId="2" fillId="0" borderId="20" xfId="55" applyFont="1" applyBorder="1" applyAlignment="1">
      <alignment horizontal="right"/>
    </xf>
    <xf numFmtId="0" fontId="3" fillId="0" borderId="0" xfId="0" applyFont="1" applyAlignment="1">
      <alignment/>
    </xf>
    <xf numFmtId="43" fontId="3" fillId="0" borderId="0" xfId="55" applyFont="1" applyAlignment="1">
      <alignment/>
    </xf>
    <xf numFmtId="0" fontId="4" fillId="0" borderId="0" xfId="0" applyFont="1" applyAlignment="1">
      <alignment/>
    </xf>
    <xf numFmtId="0" fontId="5" fillId="0" borderId="19" xfId="0" applyFont="1" applyBorder="1" applyAlignment="1" quotePrefix="1">
      <alignment horizontal="center"/>
    </xf>
    <xf numFmtId="43" fontId="5" fillId="0" borderId="19" xfId="55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3" fontId="3" fillId="0" borderId="0" xfId="0" applyNumberFormat="1" applyFont="1" applyAlignment="1">
      <alignment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43" fontId="5" fillId="0" borderId="19" xfId="55" applyFont="1" applyBorder="1" applyAlignment="1">
      <alignment horizontal="center"/>
    </xf>
    <xf numFmtId="0" fontId="23" fillId="0" borderId="19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2" xfId="0" applyFont="1" applyBorder="1" applyAlignment="1" quotePrefix="1">
      <alignment horizontal="center"/>
    </xf>
    <xf numFmtId="43" fontId="5" fillId="0" borderId="22" xfId="55" applyFont="1" applyBorder="1" applyAlignment="1" quotePrefix="1">
      <alignment horizontal="center"/>
    </xf>
    <xf numFmtId="43" fontId="5" fillId="0" borderId="22" xfId="55" applyFont="1" applyBorder="1" applyAlignment="1">
      <alignment/>
    </xf>
    <xf numFmtId="43" fontId="5" fillId="0" borderId="23" xfId="55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4" xfId="0" applyFont="1" applyBorder="1" applyAlignment="1" quotePrefix="1">
      <alignment horizontal="center"/>
    </xf>
    <xf numFmtId="43" fontId="5" fillId="0" borderId="24" xfId="55" applyFont="1" applyBorder="1" applyAlignment="1" quotePrefix="1">
      <alignment horizontal="center"/>
    </xf>
    <xf numFmtId="43" fontId="5" fillId="0" borderId="24" xfId="55" applyFont="1" applyBorder="1" applyAlignment="1">
      <alignment/>
    </xf>
    <xf numFmtId="43" fontId="5" fillId="0" borderId="25" xfId="55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 quotePrefix="1">
      <alignment horizontal="center"/>
    </xf>
    <xf numFmtId="43" fontId="5" fillId="0" borderId="21" xfId="55" applyFont="1" applyBorder="1" applyAlignment="1" quotePrefix="1">
      <alignment horizontal="center"/>
    </xf>
    <xf numFmtId="43" fontId="5" fillId="0" borderId="21" xfId="55" applyFont="1" applyBorder="1" applyAlignment="1">
      <alignment/>
    </xf>
    <xf numFmtId="43" fontId="5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43" fontId="5" fillId="0" borderId="19" xfId="55" applyFont="1" applyBorder="1" applyAlignment="1" quotePrefix="1">
      <alignment horizontal="center"/>
    </xf>
    <xf numFmtId="43" fontId="5" fillId="0" borderId="20" xfId="55" applyFont="1" applyBorder="1" applyAlignment="1">
      <alignment/>
    </xf>
    <xf numFmtId="43" fontId="3" fillId="0" borderId="0" xfId="55" applyFont="1" applyBorder="1" applyAlignment="1">
      <alignment/>
    </xf>
    <xf numFmtId="0" fontId="5" fillId="0" borderId="0" xfId="0" applyFont="1" applyBorder="1" applyAlignment="1">
      <alignment horizontal="left"/>
    </xf>
    <xf numFmtId="0" fontId="19" fillId="0" borderId="2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8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28" xfId="0" applyFont="1" applyBorder="1" applyAlignment="1">
      <alignment/>
    </xf>
    <xf numFmtId="43" fontId="2" fillId="0" borderId="28" xfId="55" applyFont="1" applyBorder="1" applyAlignment="1">
      <alignment horizontal="center"/>
    </xf>
    <xf numFmtId="43" fontId="2" fillId="0" borderId="28" xfId="55" applyFont="1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43" fontId="2" fillId="0" borderId="31" xfId="55" applyFont="1" applyBorder="1" applyAlignment="1">
      <alignment/>
    </xf>
    <xf numFmtId="15" fontId="2" fillId="0" borderId="25" xfId="0" applyNumberFormat="1" applyFont="1" applyBorder="1" applyAlignment="1">
      <alignment horizontal="center"/>
    </xf>
    <xf numFmtId="43" fontId="2" fillId="0" borderId="0" xfId="55" applyFont="1" applyBorder="1" applyAlignment="1">
      <alignment/>
    </xf>
    <xf numFmtId="15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3" fontId="2" fillId="0" borderId="30" xfId="55" applyFont="1" applyBorder="1" applyAlignment="1">
      <alignment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3" fontId="2" fillId="0" borderId="30" xfId="55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3" xfId="0" applyFont="1" applyBorder="1" applyAlignment="1">
      <alignment/>
    </xf>
    <xf numFmtId="0" fontId="21" fillId="0" borderId="0" xfId="0" applyFont="1" applyAlignment="1">
      <alignment/>
    </xf>
    <xf numFmtId="43" fontId="2" fillId="0" borderId="0" xfId="0" applyNumberFormat="1" applyFont="1" applyAlignment="1">
      <alignment/>
    </xf>
    <xf numFmtId="43" fontId="4" fillId="0" borderId="0" xfId="55" applyFont="1" applyAlignment="1">
      <alignment/>
    </xf>
    <xf numFmtId="43" fontId="5" fillId="0" borderId="32" xfId="55" applyFont="1" applyBorder="1" applyAlignment="1" quotePrefix="1">
      <alignment horizontal="center"/>
    </xf>
    <xf numFmtId="0" fontId="5" fillId="0" borderId="25" xfId="0" applyFont="1" applyBorder="1" applyAlignment="1">
      <alignment/>
    </xf>
    <xf numFmtId="43" fontId="5" fillId="0" borderId="0" xfId="55" applyFont="1" applyAlignment="1">
      <alignment/>
    </xf>
    <xf numFmtId="0" fontId="3" fillId="0" borderId="19" xfId="0" applyFont="1" applyBorder="1" applyAlignment="1">
      <alignment horizontal="center"/>
    </xf>
    <xf numFmtId="43" fontId="3" fillId="0" borderId="19" xfId="55" applyFont="1" applyBorder="1" applyAlignment="1">
      <alignment horizontal="center"/>
    </xf>
    <xf numFmtId="43" fontId="3" fillId="0" borderId="19" xfId="55" applyFont="1" applyBorder="1" applyAlignment="1">
      <alignment/>
    </xf>
    <xf numFmtId="43" fontId="3" fillId="0" borderId="22" xfId="55" applyFont="1" applyBorder="1" applyAlignment="1">
      <alignment/>
    </xf>
    <xf numFmtId="43" fontId="3" fillId="0" borderId="24" xfId="55" applyFont="1" applyBorder="1" applyAlignment="1">
      <alignment/>
    </xf>
    <xf numFmtId="43" fontId="3" fillId="0" borderId="21" xfId="55" applyFont="1" applyBorder="1" applyAlignment="1">
      <alignment/>
    </xf>
    <xf numFmtId="43" fontId="2" fillId="0" borderId="0" xfId="55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34" xfId="0" applyFont="1" applyBorder="1" applyAlignment="1" quotePrefix="1">
      <alignment horizontal="center"/>
    </xf>
    <xf numFmtId="0" fontId="18" fillId="0" borderId="19" xfId="0" applyFont="1" applyBorder="1" applyAlignment="1" quotePrefix="1">
      <alignment horizontal="center"/>
    </xf>
    <xf numFmtId="43" fontId="18" fillId="0" borderId="19" xfId="55" applyFont="1" applyBorder="1" applyAlignment="1">
      <alignment/>
    </xf>
    <xf numFmtId="0" fontId="18" fillId="0" borderId="0" xfId="0" applyFont="1" applyAlignment="1">
      <alignment/>
    </xf>
    <xf numFmtId="0" fontId="18" fillId="0" borderId="19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43" fontId="18" fillId="0" borderId="0" xfId="55" applyFont="1" applyBorder="1" applyAlignment="1">
      <alignment/>
    </xf>
    <xf numFmtId="0" fontId="18" fillId="0" borderId="19" xfId="0" applyFont="1" applyBorder="1" applyAlignment="1">
      <alignment horizontal="center"/>
    </xf>
    <xf numFmtId="43" fontId="2" fillId="0" borderId="35" xfId="55" applyFont="1" applyBorder="1" applyAlignment="1">
      <alignment/>
    </xf>
    <xf numFmtId="43" fontId="18" fillId="0" borderId="0" xfId="55" applyFont="1" applyAlignment="1">
      <alignment/>
    </xf>
    <xf numFmtId="43" fontId="3" fillId="0" borderId="20" xfId="55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30" xfId="0" applyFont="1" applyBorder="1" applyAlignment="1" quotePrefix="1">
      <alignment horizontal="center"/>
    </xf>
    <xf numFmtId="0" fontId="24" fillId="0" borderId="0" xfId="0" applyFont="1" applyAlignment="1">
      <alignment/>
    </xf>
    <xf numFmtId="43" fontId="24" fillId="0" borderId="0" xfId="55" applyFont="1" applyAlignment="1">
      <alignment/>
    </xf>
    <xf numFmtId="43" fontId="24" fillId="0" borderId="0" xfId="0" applyNumberFormat="1" applyFont="1" applyAlignment="1">
      <alignment/>
    </xf>
    <xf numFmtId="43" fontId="24" fillId="0" borderId="19" xfId="55" applyFont="1" applyBorder="1" applyAlignment="1">
      <alignment horizontal="center"/>
    </xf>
    <xf numFmtId="15" fontId="2" fillId="0" borderId="25" xfId="0" applyNumberFormat="1" applyFont="1" applyBorder="1" applyAlignment="1" quotePrefix="1">
      <alignment horizontal="center"/>
    </xf>
    <xf numFmtId="0" fontId="26" fillId="0" borderId="0" xfId="0" applyFont="1" applyAlignment="1">
      <alignment/>
    </xf>
    <xf numFmtId="43" fontId="26" fillId="0" borderId="0" xfId="55" applyFont="1" applyAlignment="1">
      <alignment/>
    </xf>
    <xf numFmtId="0" fontId="26" fillId="0" borderId="0" xfId="0" applyFont="1" applyAlignment="1">
      <alignment horizontal="right"/>
    </xf>
    <xf numFmtId="0" fontId="26" fillId="0" borderId="36" xfId="0" applyFont="1" applyBorder="1" applyAlignment="1">
      <alignment horizontal="center"/>
    </xf>
    <xf numFmtId="49" fontId="24" fillId="0" borderId="37" xfId="0" applyNumberFormat="1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49" fontId="24" fillId="0" borderId="24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49" fontId="24" fillId="0" borderId="40" xfId="0" applyNumberFormat="1" applyFont="1" applyBorder="1" applyAlignment="1">
      <alignment horizontal="center"/>
    </xf>
    <xf numFmtId="43" fontId="24" fillId="0" borderId="25" xfId="55" applyFont="1" applyBorder="1" applyAlignment="1">
      <alignment horizontal="center"/>
    </xf>
    <xf numFmtId="0" fontId="26" fillId="0" borderId="36" xfId="0" applyFont="1" applyBorder="1" applyAlignment="1">
      <alignment/>
    </xf>
    <xf numFmtId="43" fontId="24" fillId="0" borderId="37" xfId="55" applyFont="1" applyBorder="1" applyAlignment="1">
      <alignment horizontal="center"/>
    </xf>
    <xf numFmtId="0" fontId="27" fillId="0" borderId="25" xfId="0" applyFont="1" applyBorder="1" applyAlignment="1">
      <alignment/>
    </xf>
    <xf numFmtId="43" fontId="24" fillId="0" borderId="24" xfId="55" applyFont="1" applyBorder="1" applyAlignment="1">
      <alignment horizontal="center"/>
    </xf>
    <xf numFmtId="0" fontId="26" fillId="0" borderId="25" xfId="0" applyFont="1" applyBorder="1" applyAlignment="1">
      <alignment/>
    </xf>
    <xf numFmtId="43" fontId="26" fillId="0" borderId="0" xfId="0" applyNumberFormat="1" applyFont="1" applyAlignment="1">
      <alignment/>
    </xf>
    <xf numFmtId="43" fontId="24" fillId="0" borderId="32" xfId="55" applyFont="1" applyBorder="1" applyAlignment="1">
      <alignment horizontal="center"/>
    </xf>
    <xf numFmtId="43" fontId="24" fillId="0" borderId="21" xfId="55" applyFont="1" applyBorder="1" applyAlignment="1">
      <alignment horizontal="center"/>
    </xf>
    <xf numFmtId="43" fontId="24" fillId="0" borderId="41" xfId="55" applyFont="1" applyBorder="1" applyAlignment="1">
      <alignment horizontal="center"/>
    </xf>
    <xf numFmtId="43" fontId="24" fillId="0" borderId="20" xfId="55" applyFont="1" applyBorder="1" applyAlignment="1">
      <alignment horizontal="center"/>
    </xf>
    <xf numFmtId="0" fontId="26" fillId="0" borderId="0" xfId="0" applyFont="1" applyBorder="1" applyAlignment="1">
      <alignment/>
    </xf>
    <xf numFmtId="43" fontId="24" fillId="0" borderId="36" xfId="55" applyFont="1" applyBorder="1" applyAlignment="1">
      <alignment horizontal="center"/>
    </xf>
    <xf numFmtId="0" fontId="26" fillId="0" borderId="24" xfId="0" applyFont="1" applyBorder="1" applyAlignment="1">
      <alignment/>
    </xf>
    <xf numFmtId="0" fontId="26" fillId="0" borderId="28" xfId="0" applyFont="1" applyBorder="1" applyAlignment="1">
      <alignment/>
    </xf>
    <xf numFmtId="43" fontId="24" fillId="0" borderId="42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3" fontId="24" fillId="0" borderId="19" xfId="0" applyNumberFormat="1" applyFont="1" applyBorder="1" applyAlignment="1">
      <alignment horizontal="center"/>
    </xf>
    <xf numFmtId="43" fontId="24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43" fontId="24" fillId="0" borderId="28" xfId="55" applyFont="1" applyBorder="1" applyAlignment="1">
      <alignment horizontal="center"/>
    </xf>
    <xf numFmtId="43" fontId="26" fillId="0" borderId="0" xfId="0" applyNumberFormat="1" applyFont="1" applyBorder="1" applyAlignment="1">
      <alignment/>
    </xf>
    <xf numFmtId="43" fontId="24" fillId="0" borderId="43" xfId="55" applyFont="1" applyBorder="1" applyAlignment="1">
      <alignment horizontal="center"/>
    </xf>
    <xf numFmtId="43" fontId="24" fillId="0" borderId="44" xfId="55" applyFont="1" applyBorder="1" applyAlignment="1">
      <alignment horizontal="center"/>
    </xf>
    <xf numFmtId="43" fontId="24" fillId="0" borderId="45" xfId="55" applyFont="1" applyBorder="1" applyAlignment="1">
      <alignment horizontal="center"/>
    </xf>
    <xf numFmtId="43" fontId="24" fillId="0" borderId="0" xfId="55" applyFont="1" applyBorder="1" applyAlignment="1">
      <alignment horizontal="center"/>
    </xf>
    <xf numFmtId="49" fontId="24" fillId="0" borderId="0" xfId="0" applyNumberFormat="1" applyFont="1" applyAlignment="1">
      <alignment horizontal="center"/>
    </xf>
    <xf numFmtId="43" fontId="26" fillId="0" borderId="0" xfId="55" applyFont="1" applyAlignment="1">
      <alignment horizontal="right"/>
    </xf>
    <xf numFmtId="43" fontId="3" fillId="0" borderId="33" xfId="55" applyFont="1" applyBorder="1" applyAlignment="1">
      <alignment/>
    </xf>
    <xf numFmtId="15" fontId="2" fillId="0" borderId="0" xfId="0" applyNumberFormat="1" applyFont="1" applyBorder="1" applyAlignment="1">
      <alignment horizontal="center"/>
    </xf>
    <xf numFmtId="0" fontId="2" fillId="0" borderId="46" xfId="0" applyFont="1" applyBorder="1" applyAlignment="1" quotePrefix="1">
      <alignment horizontal="center"/>
    </xf>
    <xf numFmtId="43" fontId="2" fillId="0" borderId="47" xfId="55" applyFont="1" applyBorder="1" applyAlignment="1">
      <alignment/>
    </xf>
    <xf numFmtId="15" fontId="2" fillId="0" borderId="48" xfId="0" applyNumberFormat="1" applyFont="1" applyBorder="1" applyAlignment="1">
      <alignment horizontal="center"/>
    </xf>
    <xf numFmtId="0" fontId="18" fillId="0" borderId="25" xfId="0" applyFont="1" applyBorder="1" applyAlignment="1">
      <alignment/>
    </xf>
    <xf numFmtId="59" fontId="2" fillId="0" borderId="47" xfId="0" applyNumberFormat="1" applyFont="1" applyBorder="1" applyAlignment="1" quotePrefix="1">
      <alignment horizontal="center"/>
    </xf>
    <xf numFmtId="0" fontId="5" fillId="0" borderId="25" xfId="0" applyFont="1" applyBorder="1" applyAlignment="1" quotePrefix="1">
      <alignment horizontal="center"/>
    </xf>
    <xf numFmtId="0" fontId="5" fillId="0" borderId="42" xfId="0" applyFont="1" applyBorder="1" applyAlignment="1">
      <alignment/>
    </xf>
    <xf numFmtId="43" fontId="26" fillId="0" borderId="49" xfId="55" applyFont="1" applyBorder="1" applyAlignment="1">
      <alignment/>
    </xf>
    <xf numFmtId="4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43" fontId="3" fillId="0" borderId="50" xfId="55" applyFont="1" applyBorder="1" applyAlignment="1">
      <alignment/>
    </xf>
    <xf numFmtId="0" fontId="23" fillId="0" borderId="0" xfId="0" applyFont="1" applyAlignment="1">
      <alignment horizontal="left"/>
    </xf>
    <xf numFmtId="0" fontId="5" fillId="0" borderId="27" xfId="0" applyFont="1" applyBorder="1" applyAlignment="1">
      <alignment/>
    </xf>
    <xf numFmtId="43" fontId="5" fillId="0" borderId="28" xfId="55" applyFont="1" applyBorder="1" applyAlignment="1">
      <alignment/>
    </xf>
    <xf numFmtId="43" fontId="5" fillId="0" borderId="24" xfId="55" applyFont="1" applyBorder="1" applyAlignment="1">
      <alignment horizontal="right"/>
    </xf>
    <xf numFmtId="43" fontId="5" fillId="0" borderId="25" xfId="55" applyFont="1" applyBorder="1" applyAlignment="1">
      <alignment horizontal="right"/>
    </xf>
    <xf numFmtId="0" fontId="5" fillId="0" borderId="28" xfId="0" applyFont="1" applyBorder="1" applyAlignment="1">
      <alignment/>
    </xf>
    <xf numFmtId="43" fontId="5" fillId="0" borderId="51" xfId="55" applyFont="1" applyBorder="1" applyAlignment="1">
      <alignment/>
    </xf>
    <xf numFmtId="0" fontId="5" fillId="0" borderId="20" xfId="0" applyFont="1" applyBorder="1" applyAlignment="1">
      <alignment/>
    </xf>
    <xf numFmtId="0" fontId="18" fillId="0" borderId="24" xfId="0" applyFont="1" applyBorder="1" applyAlignment="1">
      <alignment/>
    </xf>
    <xf numFmtId="0" fontId="3" fillId="0" borderId="28" xfId="0" applyFont="1" applyBorder="1" applyAlignment="1">
      <alignment/>
    </xf>
    <xf numFmtId="0" fontId="29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32" xfId="0" applyFont="1" applyBorder="1" applyAlignment="1">
      <alignment horizontal="center"/>
    </xf>
    <xf numFmtId="43" fontId="3" fillId="0" borderId="40" xfId="55" applyFont="1" applyBorder="1" applyAlignment="1">
      <alignment/>
    </xf>
    <xf numFmtId="0" fontId="3" fillId="0" borderId="40" xfId="0" applyFont="1" applyBorder="1" applyAlignment="1">
      <alignment/>
    </xf>
    <xf numFmtId="0" fontId="5" fillId="0" borderId="33" xfId="0" applyFont="1" applyBorder="1" applyAlignment="1">
      <alignment horizontal="left"/>
    </xf>
    <xf numFmtId="0" fontId="30" fillId="0" borderId="0" xfId="0" applyFont="1" applyAlignment="1">
      <alignment/>
    </xf>
    <xf numFmtId="0" fontId="2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5" fillId="0" borderId="23" xfId="0" applyFont="1" applyBorder="1" applyAlignment="1">
      <alignment/>
    </xf>
    <xf numFmtId="43" fontId="28" fillId="0" borderId="0" xfId="0" applyNumberFormat="1" applyFont="1" applyAlignment="1">
      <alignment/>
    </xf>
    <xf numFmtId="0" fontId="31" fillId="0" borderId="0" xfId="0" applyFont="1" applyAlignment="1">
      <alignment/>
    </xf>
    <xf numFmtId="43" fontId="31" fillId="0" borderId="0" xfId="55" applyFont="1" applyAlignment="1">
      <alignment/>
    </xf>
    <xf numFmtId="43" fontId="31" fillId="0" borderId="0" xfId="0" applyNumberFormat="1" applyFont="1" applyAlignment="1">
      <alignment/>
    </xf>
    <xf numFmtId="0" fontId="5" fillId="0" borderId="44" xfId="0" applyFont="1" applyBorder="1" applyAlignment="1" quotePrefix="1">
      <alignment horizontal="center"/>
    </xf>
    <xf numFmtId="43" fontId="4" fillId="0" borderId="20" xfId="55" applyFont="1" applyBorder="1" applyAlignment="1">
      <alignment/>
    </xf>
    <xf numFmtId="0" fontId="4" fillId="0" borderId="0" xfId="0" applyFont="1" applyAlignment="1">
      <alignment horizontal="center"/>
    </xf>
    <xf numFmtId="0" fontId="18" fillId="0" borderId="21" xfId="0" applyFont="1" applyBorder="1" applyAlignment="1">
      <alignment horizontal="left"/>
    </xf>
    <xf numFmtId="0" fontId="33" fillId="0" borderId="19" xfId="0" applyFont="1" applyBorder="1" applyAlignment="1" quotePrefix="1">
      <alignment horizontal="left"/>
    </xf>
    <xf numFmtId="0" fontId="33" fillId="0" borderId="19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43" fontId="4" fillId="0" borderId="19" xfId="55" applyFont="1" applyBorder="1" applyAlignment="1">
      <alignment horizontal="center" vertical="center"/>
    </xf>
    <xf numFmtId="0" fontId="34" fillId="0" borderId="0" xfId="0" applyFont="1" applyAlignment="1">
      <alignment/>
    </xf>
    <xf numFmtId="43" fontId="34" fillId="0" borderId="0" xfId="55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4" xfId="0" applyFont="1" applyBorder="1" applyAlignment="1" quotePrefix="1">
      <alignment horizontal="center"/>
    </xf>
    <xf numFmtId="43" fontId="4" fillId="0" borderId="24" xfId="55" applyFont="1" applyBorder="1" applyAlignment="1">
      <alignment/>
    </xf>
    <xf numFmtId="43" fontId="4" fillId="0" borderId="25" xfId="55" applyFont="1" applyBorder="1" applyAlignment="1">
      <alignment shrinkToFit="1"/>
    </xf>
    <xf numFmtId="43" fontId="34" fillId="0" borderId="0" xfId="55" applyFont="1" applyBorder="1" applyAlignment="1">
      <alignment/>
    </xf>
    <xf numFmtId="43" fontId="4" fillId="0" borderId="0" xfId="55" applyFont="1" applyBorder="1" applyAlignment="1">
      <alignment/>
    </xf>
    <xf numFmtId="43" fontId="4" fillId="0" borderId="0" xfId="0" applyNumberFormat="1" applyFont="1" applyAlignment="1">
      <alignment/>
    </xf>
    <xf numFmtId="187" fontId="34" fillId="0" borderId="0" xfId="55" applyNumberFormat="1" applyFont="1" applyBorder="1" applyAlignment="1">
      <alignment/>
    </xf>
    <xf numFmtId="0" fontId="4" fillId="0" borderId="25" xfId="0" applyFont="1" applyBorder="1" applyAlignment="1">
      <alignment/>
    </xf>
    <xf numFmtId="43" fontId="35" fillId="0" borderId="25" xfId="55" applyFont="1" applyBorder="1" applyAlignment="1">
      <alignment shrinkToFit="1"/>
    </xf>
    <xf numFmtId="43" fontId="36" fillId="0" borderId="25" xfId="55" applyFont="1" applyBorder="1" applyAlignment="1">
      <alignment shrinkToFit="1"/>
    </xf>
    <xf numFmtId="0" fontId="4" fillId="0" borderId="24" xfId="0" applyFont="1" applyBorder="1" applyAlignment="1">
      <alignment horizontal="center"/>
    </xf>
    <xf numFmtId="0" fontId="37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43" xfId="0" applyFont="1" applyBorder="1" applyAlignment="1">
      <alignment/>
    </xf>
    <xf numFmtId="43" fontId="34" fillId="0" borderId="0" xfId="55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9" fillId="0" borderId="19" xfId="55" applyFont="1" applyBorder="1" applyAlignment="1">
      <alignment/>
    </xf>
    <xf numFmtId="43" fontId="32" fillId="0" borderId="19" xfId="55" applyFont="1" applyBorder="1" applyAlignment="1">
      <alignment/>
    </xf>
    <xf numFmtId="0" fontId="24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5" fillId="0" borderId="3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6" fillId="0" borderId="52" xfId="0" applyFont="1" applyBorder="1" applyAlignment="1">
      <alignment horizontal="center"/>
    </xf>
    <xf numFmtId="0" fontId="26" fillId="0" borderId="53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42" xfId="0" applyFont="1" applyBorder="1" applyAlignment="1" quotePrefix="1">
      <alignment horizontal="center"/>
    </xf>
    <xf numFmtId="0" fontId="5" fillId="0" borderId="44" xfId="0" applyFont="1" applyBorder="1" applyAlignment="1" quotePrefix="1">
      <alignment horizontal="center"/>
    </xf>
    <xf numFmtId="43" fontId="4" fillId="42" borderId="0" xfId="0" applyNumberFormat="1" applyFont="1" applyFill="1" applyAlignment="1">
      <alignment/>
    </xf>
  </cellXfs>
  <cellStyles count="6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Bad" xfId="33"/>
    <cellStyle name="Calculation" xfId="34"/>
    <cellStyle name="Check Cell" xfId="35"/>
    <cellStyle name="Emphasis 1" xfId="36"/>
    <cellStyle name="Emphasis 2" xfId="37"/>
    <cellStyle name="Emphasis 3" xfId="38"/>
    <cellStyle name="Good" xfId="39"/>
    <cellStyle name="Heading 1" xfId="40"/>
    <cellStyle name="Heading 2" xfId="41"/>
    <cellStyle name="Heading 3" xfId="42"/>
    <cellStyle name="Heading 4" xfId="43"/>
    <cellStyle name="Input" xfId="44"/>
    <cellStyle name="Linked Cell" xfId="45"/>
    <cellStyle name="Neutral" xfId="46"/>
    <cellStyle name="Note" xfId="47"/>
    <cellStyle name="Output" xfId="48"/>
    <cellStyle name="Sheet Title" xfId="49"/>
    <cellStyle name="Total" xfId="50"/>
    <cellStyle name="Warning Text" xfId="51"/>
    <cellStyle name="การคำนวณ" xfId="52"/>
    <cellStyle name="ข้อความเตือน" xfId="53"/>
    <cellStyle name="ข้อความอธิบาย" xfId="54"/>
    <cellStyle name="Comma" xfId="55"/>
    <cellStyle name="Comma [0]" xfId="56"/>
    <cellStyle name="Currency" xfId="57"/>
    <cellStyle name="Currency [0]" xfId="58"/>
    <cellStyle name="ชื่อเรื่อง" xfId="59"/>
    <cellStyle name="เซลล์ตรวจสอบ" xfId="60"/>
    <cellStyle name="เซลล์ที่มีการเชื่อมโยง" xfId="61"/>
    <cellStyle name="ดี" xfId="62"/>
    <cellStyle name="ป้อนค่า" xfId="63"/>
    <cellStyle name="ปานกลาง" xfId="64"/>
    <cellStyle name="Percent" xfId="65"/>
    <cellStyle name="ผลรวม" xfId="66"/>
    <cellStyle name="แย่" xfId="67"/>
    <cellStyle name="ส่วนที่ถูกเน้น1" xfId="68"/>
    <cellStyle name="ส่วนที่ถูกเน้น2" xfId="69"/>
    <cellStyle name="ส่วนที่ถูกเน้น3" xfId="70"/>
    <cellStyle name="ส่วนที่ถูกเน้น4" xfId="71"/>
    <cellStyle name="ส่วนที่ถูกเน้น5" xfId="72"/>
    <cellStyle name="ส่วนที่ถูกเน้น6" xfId="73"/>
    <cellStyle name="แสดงผล" xfId="74"/>
    <cellStyle name="หมายเหตุ" xfId="75"/>
    <cellStyle name="หัวเรื่อง 1" xfId="76"/>
    <cellStyle name="หัวเรื่อง 2" xfId="77"/>
    <cellStyle name="หัวเรื่อง 3" xfId="78"/>
    <cellStyle name="หัวเรื่อง 4" xfId="7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57150</xdr:rowOff>
    </xdr:from>
    <xdr:to>
      <xdr:col>6</xdr:col>
      <xdr:colOff>552450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42900"/>
          <a:ext cx="1152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381000</xdr:colOff>
      <xdr:row>18</xdr:row>
      <xdr:rowOff>76200</xdr:rowOff>
    </xdr:from>
    <xdr:to>
      <xdr:col>9</xdr:col>
      <xdr:colOff>0</xdr:colOff>
      <xdr:row>21</xdr:row>
      <xdr:rowOff>9525</xdr:rowOff>
    </xdr:to>
    <xdr:pic>
      <xdr:nvPicPr>
        <xdr:cNvPr id="2" name="Picture 1" descr="โลโก้น สมบูรณ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4276725"/>
          <a:ext cx="2057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K23"/>
  <sheetViews>
    <sheetView tabSelected="1" zoomScale="125" zoomScaleNormal="125" zoomScalePageLayoutView="0" workbookViewId="0" topLeftCell="A1">
      <selection activeCell="L5" sqref="L5"/>
    </sheetView>
  </sheetViews>
  <sheetFormatPr defaultColWidth="9.140625" defaultRowHeight="12.75"/>
  <cols>
    <col min="1" max="1" width="2.8515625" style="178" customWidth="1"/>
    <col min="2" max="10" width="9.140625" style="178" customWidth="1"/>
    <col min="11" max="11" width="11.28125" style="178" customWidth="1"/>
    <col min="12" max="16384" width="9.140625" style="178" customWidth="1"/>
  </cols>
  <sheetData>
    <row r="6" spans="2:11" ht="20.25">
      <c r="B6" s="223" t="s">
        <v>143</v>
      </c>
      <c r="C6" s="223"/>
      <c r="D6" s="223"/>
      <c r="E6" s="223"/>
      <c r="F6" s="223"/>
      <c r="G6" s="223"/>
      <c r="H6" s="223"/>
      <c r="I6" s="223"/>
      <c r="J6" s="223"/>
      <c r="K6" s="223"/>
    </row>
    <row r="7" spans="2:11" ht="20.25">
      <c r="B7" s="223" t="s">
        <v>279</v>
      </c>
      <c r="C7" s="223"/>
      <c r="D7" s="223"/>
      <c r="E7" s="223"/>
      <c r="F7" s="223"/>
      <c r="G7" s="223"/>
      <c r="H7" s="223"/>
      <c r="I7" s="223"/>
      <c r="J7" s="223"/>
      <c r="K7" s="223"/>
    </row>
    <row r="8" spans="2:11" ht="20.25">
      <c r="B8" s="223" t="s">
        <v>144</v>
      </c>
      <c r="C8" s="223"/>
      <c r="D8" s="223"/>
      <c r="E8" s="223"/>
      <c r="F8" s="223"/>
      <c r="G8" s="223"/>
      <c r="H8" s="223"/>
      <c r="I8" s="223"/>
      <c r="J8" s="223"/>
      <c r="K8" s="223"/>
    </row>
    <row r="10" ht="20.25">
      <c r="C10" s="178" t="s">
        <v>145</v>
      </c>
    </row>
    <row r="11" ht="20.25">
      <c r="B11" s="178" t="s">
        <v>146</v>
      </c>
    </row>
    <row r="12" ht="20.25">
      <c r="B12" s="178" t="s">
        <v>147</v>
      </c>
    </row>
    <row r="13" ht="20.25">
      <c r="B13" s="178" t="s">
        <v>148</v>
      </c>
    </row>
    <row r="15" ht="20.25">
      <c r="C15" s="178" t="s">
        <v>149</v>
      </c>
    </row>
    <row r="16" ht="20.25">
      <c r="B16" s="178" t="s">
        <v>280</v>
      </c>
    </row>
    <row r="18" ht="20.25">
      <c r="D18" s="178" t="s">
        <v>299</v>
      </c>
    </row>
    <row r="22" spans="6:9" ht="20.25">
      <c r="F22" s="223" t="s">
        <v>275</v>
      </c>
      <c r="G22" s="223"/>
      <c r="H22" s="223"/>
      <c r="I22" s="223"/>
    </row>
    <row r="23" spans="6:9" ht="20.25">
      <c r="F23" s="223" t="s">
        <v>61</v>
      </c>
      <c r="G23" s="223"/>
      <c r="H23" s="223"/>
      <c r="I23" s="223"/>
    </row>
  </sheetData>
  <sheetProtection/>
  <mergeCells count="5">
    <mergeCell ref="F23:I23"/>
    <mergeCell ref="B6:K6"/>
    <mergeCell ref="B7:K7"/>
    <mergeCell ref="F22:I22"/>
    <mergeCell ref="B8:K8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SheetLayoutView="100" zoomScalePageLayoutView="0" workbookViewId="0" topLeftCell="A1">
      <selection activeCell="A44" sqref="A44:IV62"/>
    </sheetView>
  </sheetViews>
  <sheetFormatPr defaultColWidth="9.140625" defaultRowHeight="12.75"/>
  <cols>
    <col min="1" max="1" width="40.421875" style="188" customWidth="1"/>
    <col min="2" max="2" width="8.7109375" style="188" customWidth="1"/>
    <col min="3" max="3" width="20.421875" style="189" customWidth="1"/>
    <col min="4" max="4" width="22.8515625" style="189" customWidth="1"/>
    <col min="5" max="5" width="19.57421875" style="188" customWidth="1"/>
    <col min="6" max="6" width="13.421875" style="189" customWidth="1"/>
    <col min="7" max="7" width="1.1484375" style="188" customWidth="1"/>
    <col min="8" max="8" width="17.7109375" style="188" customWidth="1"/>
    <col min="9" max="9" width="12.00390625" style="188" bestFit="1" customWidth="1"/>
    <col min="10" max="16384" width="9.140625" style="188" customWidth="1"/>
  </cols>
  <sheetData>
    <row r="1" spans="1:6" s="9" customFormat="1" ht="21">
      <c r="A1" s="224" t="s">
        <v>41</v>
      </c>
      <c r="B1" s="224"/>
      <c r="C1" s="224"/>
      <c r="D1" s="224"/>
      <c r="F1" s="70"/>
    </row>
    <row r="2" spans="1:6" s="9" customFormat="1" ht="21">
      <c r="A2" s="224" t="s">
        <v>66</v>
      </c>
      <c r="B2" s="224"/>
      <c r="C2" s="224"/>
      <c r="D2" s="224"/>
      <c r="F2" s="70"/>
    </row>
    <row r="3" spans="1:6" s="9" customFormat="1" ht="21">
      <c r="A3" s="224" t="s">
        <v>288</v>
      </c>
      <c r="B3" s="224"/>
      <c r="C3" s="224"/>
      <c r="D3" s="224"/>
      <c r="F3" s="70"/>
    </row>
    <row r="4" spans="1:8" s="9" customFormat="1" ht="21">
      <c r="A4" s="197" t="s">
        <v>42</v>
      </c>
      <c r="B4" s="197" t="s">
        <v>43</v>
      </c>
      <c r="C4" s="198" t="s">
        <v>44</v>
      </c>
      <c r="D4" s="198" t="s">
        <v>45</v>
      </c>
      <c r="E4" s="199"/>
      <c r="F4" s="200"/>
      <c r="H4" s="193"/>
    </row>
    <row r="5" spans="1:9" s="9" customFormat="1" ht="21">
      <c r="A5" s="201" t="s">
        <v>46</v>
      </c>
      <c r="B5" s="202">
        <v>110100</v>
      </c>
      <c r="C5" s="203">
        <f>SUM(12449-484-5000-7-206-6749)</f>
        <v>3</v>
      </c>
      <c r="D5" s="203"/>
      <c r="E5" s="204"/>
      <c r="F5" s="205"/>
      <c r="G5" s="206"/>
      <c r="H5" s="207"/>
      <c r="I5" s="207"/>
    </row>
    <row r="6" spans="1:8" s="9" customFormat="1" ht="21">
      <c r="A6" s="201" t="s">
        <v>240</v>
      </c>
      <c r="B6" s="202">
        <v>120100</v>
      </c>
      <c r="C6" s="203">
        <f>SUM(600574.7-600574.7)</f>
        <v>0</v>
      </c>
      <c r="D6" s="203"/>
      <c r="E6" s="204"/>
      <c r="F6" s="208"/>
      <c r="G6" s="206"/>
      <c r="H6" s="207"/>
    </row>
    <row r="7" spans="1:8" s="9" customFormat="1" ht="21">
      <c r="A7" s="209" t="s">
        <v>47</v>
      </c>
      <c r="B7" s="202">
        <v>1102011</v>
      </c>
      <c r="C7" s="203">
        <f>SUM(8272580.41-821614.09)</f>
        <v>7450966.32</v>
      </c>
      <c r="D7" s="203"/>
      <c r="E7" s="210"/>
      <c r="F7" s="205"/>
      <c r="G7" s="206"/>
      <c r="H7" s="207"/>
    </row>
    <row r="8" spans="1:7" s="9" customFormat="1" ht="21">
      <c r="A8" s="209" t="s">
        <v>49</v>
      </c>
      <c r="B8" s="202">
        <v>1102012</v>
      </c>
      <c r="C8" s="203">
        <f>SUM(293539.14-101100+19904.34)</f>
        <v>212343.48</v>
      </c>
      <c r="D8" s="203"/>
      <c r="E8" s="210"/>
      <c r="F8" s="205"/>
      <c r="G8" s="206"/>
    </row>
    <row r="9" spans="1:8" s="9" customFormat="1" ht="21">
      <c r="A9" s="209" t="s">
        <v>0</v>
      </c>
      <c r="B9" s="202">
        <v>1102013</v>
      </c>
      <c r="C9" s="203">
        <f>SUM(18449602.39+642338.23+491161.31+484+5000+7+206+6749+120197-1953515.59)</f>
        <v>17762229.34</v>
      </c>
      <c r="D9" s="203"/>
      <c r="E9" s="211"/>
      <c r="F9" s="205"/>
      <c r="G9" s="206"/>
      <c r="H9" s="207"/>
    </row>
    <row r="10" spans="1:7" s="9" customFormat="1" ht="21">
      <c r="A10" s="209" t="s">
        <v>48</v>
      </c>
      <c r="B10" s="202">
        <v>1102021</v>
      </c>
      <c r="C10" s="203">
        <f>SUM(1029560.74+844.56)</f>
        <v>1030405.3</v>
      </c>
      <c r="D10" s="203"/>
      <c r="E10" s="210"/>
      <c r="F10" s="205"/>
      <c r="G10" s="206"/>
    </row>
    <row r="11" spans="1:7" s="9" customFormat="1" ht="21">
      <c r="A11" s="209" t="s">
        <v>81</v>
      </c>
      <c r="B11" s="202">
        <v>1102022</v>
      </c>
      <c r="C11" s="203">
        <f>SUM(9468851.91+53093.97)</f>
        <v>9521945.88</v>
      </c>
      <c r="D11" s="203"/>
      <c r="E11" s="210"/>
      <c r="F11" s="205"/>
      <c r="G11" s="206"/>
    </row>
    <row r="12" spans="1:9" s="9" customFormat="1" ht="21">
      <c r="A12" s="209" t="s">
        <v>62</v>
      </c>
      <c r="B12" s="202">
        <v>1102033</v>
      </c>
      <c r="C12" s="203">
        <f>SUM(41763.53+600574.7-642338.23-491161.31+1291827.57)</f>
        <v>800666.26</v>
      </c>
      <c r="D12" s="203"/>
      <c r="E12" s="210"/>
      <c r="F12" s="205"/>
      <c r="G12" s="206"/>
      <c r="H12" s="207"/>
      <c r="I12" s="207"/>
    </row>
    <row r="13" spans="1:7" s="9" customFormat="1" ht="21">
      <c r="A13" s="209" t="s">
        <v>157</v>
      </c>
      <c r="B13" s="212">
        <v>110604</v>
      </c>
      <c r="C13" s="203">
        <f>SUM(859679-19892+101100)</f>
        <v>940887</v>
      </c>
      <c r="D13" s="203"/>
      <c r="E13" s="207"/>
      <c r="F13" s="206"/>
      <c r="G13" s="206"/>
    </row>
    <row r="14" spans="1:7" s="9" customFormat="1" ht="21">
      <c r="A14" s="209" t="s">
        <v>85</v>
      </c>
      <c r="B14" s="202">
        <v>110605</v>
      </c>
      <c r="C14" s="203">
        <f>SUM(67982-21080+132664-2942-41320-49000-2640-71400-3900-3900)</f>
        <v>4464</v>
      </c>
      <c r="D14" s="203"/>
      <c r="F14" s="206"/>
      <c r="G14" s="206"/>
    </row>
    <row r="15" spans="1:7" s="9" customFormat="1" ht="21">
      <c r="A15" s="209" t="s">
        <v>164</v>
      </c>
      <c r="B15" s="202">
        <v>110606</v>
      </c>
      <c r="C15" s="203">
        <f>SUM(339000-339000)</f>
        <v>0</v>
      </c>
      <c r="D15" s="203"/>
      <c r="E15" s="207"/>
      <c r="F15" s="206"/>
      <c r="G15" s="206"/>
    </row>
    <row r="16" spans="1:9" s="9" customFormat="1" ht="21">
      <c r="A16" s="209" t="s">
        <v>165</v>
      </c>
      <c r="B16" s="202">
        <v>210200</v>
      </c>
      <c r="C16" s="203"/>
      <c r="D16" s="203">
        <v>0</v>
      </c>
      <c r="F16" s="206"/>
      <c r="G16" s="206"/>
      <c r="I16" s="207"/>
    </row>
    <row r="17" spans="1:7" s="9" customFormat="1" ht="21">
      <c r="A17" s="209" t="s">
        <v>168</v>
      </c>
      <c r="B17" s="202">
        <v>210402</v>
      </c>
      <c r="C17" s="203"/>
      <c r="D17" s="203">
        <f>SUM(1749880-74820-169340)</f>
        <v>1505720</v>
      </c>
      <c r="F17" s="206"/>
      <c r="G17" s="206"/>
    </row>
    <row r="18" spans="1:7" s="9" customFormat="1" ht="21">
      <c r="A18" s="209" t="s">
        <v>169</v>
      </c>
      <c r="B18" s="202">
        <v>210500</v>
      </c>
      <c r="C18" s="203"/>
      <c r="D18" s="203">
        <f>SUM(867710)</f>
        <v>867710</v>
      </c>
      <c r="F18" s="206"/>
      <c r="G18" s="206"/>
    </row>
    <row r="19" spans="1:7" s="9" customFormat="1" ht="21">
      <c r="A19" s="209" t="s">
        <v>151</v>
      </c>
      <c r="B19" s="212">
        <v>230100</v>
      </c>
      <c r="C19" s="203"/>
      <c r="D19" s="203">
        <v>1694045.68</v>
      </c>
      <c r="E19" s="213"/>
      <c r="F19" s="206"/>
      <c r="G19" s="206"/>
    </row>
    <row r="20" spans="1:7" s="9" customFormat="1" ht="21">
      <c r="A20" s="209" t="s">
        <v>59</v>
      </c>
      <c r="B20" s="202">
        <v>300000</v>
      </c>
      <c r="C20" s="203"/>
      <c r="D20" s="203">
        <f>SUM(14639080.57+74820)</f>
        <v>14713900.57</v>
      </c>
      <c r="E20" s="207"/>
      <c r="F20" s="206"/>
      <c r="G20" s="206"/>
    </row>
    <row r="21" spans="1:7" s="9" customFormat="1" ht="21">
      <c r="A21" s="209" t="s">
        <v>6</v>
      </c>
      <c r="B21" s="212">
        <v>320000</v>
      </c>
      <c r="C21" s="203"/>
      <c r="D21" s="203">
        <f>SUM(9427927.22)</f>
        <v>9427927.22</v>
      </c>
      <c r="E21" s="207"/>
      <c r="F21" s="206"/>
      <c r="G21" s="206"/>
    </row>
    <row r="22" spans="1:7" s="9" customFormat="1" ht="21">
      <c r="A22" s="209" t="s">
        <v>150</v>
      </c>
      <c r="B22" s="212">
        <v>400000</v>
      </c>
      <c r="C22" s="203"/>
      <c r="D22" s="203">
        <v>21800777.36</v>
      </c>
      <c r="E22" s="207"/>
      <c r="F22" s="206"/>
      <c r="G22" s="206"/>
    </row>
    <row r="23" spans="1:7" s="9" customFormat="1" ht="21">
      <c r="A23" s="209" t="s">
        <v>50</v>
      </c>
      <c r="B23" s="202">
        <v>510000</v>
      </c>
      <c r="C23" s="203">
        <f>SUM(232037+8700)</f>
        <v>240737</v>
      </c>
      <c r="D23" s="203"/>
      <c r="F23" s="206"/>
      <c r="G23" s="206"/>
    </row>
    <row r="24" spans="1:7" s="9" customFormat="1" ht="21">
      <c r="A24" s="209" t="s">
        <v>51</v>
      </c>
      <c r="B24" s="212">
        <v>521000</v>
      </c>
      <c r="C24" s="203">
        <f>SUM(1086412.82+214260)</f>
        <v>1300672.82</v>
      </c>
      <c r="D24" s="203"/>
      <c r="F24" s="206"/>
      <c r="G24" s="206"/>
    </row>
    <row r="25" spans="1:8" s="9" customFormat="1" ht="21">
      <c r="A25" s="209" t="s">
        <v>51</v>
      </c>
      <c r="B25" s="212">
        <v>522000</v>
      </c>
      <c r="C25" s="203">
        <f>SUM(2052408.52+355425)</f>
        <v>2407833.52</v>
      </c>
      <c r="D25" s="203"/>
      <c r="F25" s="206"/>
      <c r="G25" s="206"/>
      <c r="H25" s="207"/>
    </row>
    <row r="26" spans="1:7" s="9" customFormat="1" ht="21">
      <c r="A26" s="209" t="s">
        <v>52</v>
      </c>
      <c r="B26" s="212">
        <v>531000</v>
      </c>
      <c r="C26" s="203">
        <f>SUM(138807.33+20350)</f>
        <v>159157.33</v>
      </c>
      <c r="D26" s="203"/>
      <c r="F26" s="206"/>
      <c r="G26" s="206"/>
    </row>
    <row r="27" spans="1:7" s="9" customFormat="1" ht="21">
      <c r="A27" s="209" t="s">
        <v>53</v>
      </c>
      <c r="B27" s="212">
        <v>532000</v>
      </c>
      <c r="C27" s="203">
        <f>SUM(1183377.93+346614.88+2942+41320+49000+2640+71400+3900+3900)</f>
        <v>1705094.81</v>
      </c>
      <c r="D27" s="203"/>
      <c r="F27" s="206"/>
      <c r="G27" s="206"/>
    </row>
    <row r="28" spans="1:7" s="9" customFormat="1" ht="21">
      <c r="A28" s="209" t="s">
        <v>54</v>
      </c>
      <c r="B28" s="212">
        <v>533000</v>
      </c>
      <c r="C28" s="203">
        <f>SUM(262798.34+674401.1)</f>
        <v>937199.44</v>
      </c>
      <c r="D28" s="203"/>
      <c r="F28" s="206"/>
      <c r="G28" s="206"/>
    </row>
    <row r="29" spans="1:7" s="9" customFormat="1" ht="21">
      <c r="A29" s="209" t="s">
        <v>56</v>
      </c>
      <c r="B29" s="212">
        <v>534000</v>
      </c>
      <c r="C29" s="203">
        <f>SUM(102618.39+22896.94)</f>
        <v>125515.33</v>
      </c>
      <c r="D29" s="203"/>
      <c r="F29" s="206"/>
      <c r="G29" s="206"/>
    </row>
    <row r="30" spans="1:7" s="9" customFormat="1" ht="21">
      <c r="A30" s="209" t="s">
        <v>55</v>
      </c>
      <c r="B30" s="212">
        <v>541000</v>
      </c>
      <c r="C30" s="203">
        <f>SUM(26500+86500)</f>
        <v>113000</v>
      </c>
      <c r="D30" s="203"/>
      <c r="E30" s="258"/>
      <c r="F30" s="206"/>
      <c r="G30" s="206"/>
    </row>
    <row r="31" spans="1:7" s="9" customFormat="1" ht="21">
      <c r="A31" s="209" t="s">
        <v>58</v>
      </c>
      <c r="B31" s="212">
        <v>542000</v>
      </c>
      <c r="C31" s="203">
        <f>SUM(74600+98000)</f>
        <v>172600</v>
      </c>
      <c r="D31" s="203"/>
      <c r="F31" s="206"/>
      <c r="G31" s="206"/>
    </row>
    <row r="32" spans="1:7" s="9" customFormat="1" ht="21">
      <c r="A32" s="209" t="s">
        <v>86</v>
      </c>
      <c r="B32" s="212">
        <v>550000</v>
      </c>
      <c r="C32" s="203">
        <v>0</v>
      </c>
      <c r="D32" s="203"/>
      <c r="F32" s="206"/>
      <c r="G32" s="206"/>
    </row>
    <row r="33" spans="1:7" s="9" customFormat="1" ht="21">
      <c r="A33" s="209" t="s">
        <v>57</v>
      </c>
      <c r="B33" s="212">
        <v>560000</v>
      </c>
      <c r="C33" s="203">
        <f>SUM(1456000+150000)</f>
        <v>1606000</v>
      </c>
      <c r="D33" s="203"/>
      <c r="F33" s="206"/>
      <c r="G33" s="206"/>
    </row>
    <row r="34" spans="1:7" s="9" customFormat="1" ht="21">
      <c r="A34" s="209" t="s">
        <v>50</v>
      </c>
      <c r="B34" s="212">
        <v>710000</v>
      </c>
      <c r="C34" s="203">
        <f>SUM(2912460+140900+339000)</f>
        <v>3392360</v>
      </c>
      <c r="D34" s="203"/>
      <c r="F34" s="206"/>
      <c r="G34" s="206"/>
    </row>
    <row r="35" spans="1:7" s="9" customFormat="1" ht="21">
      <c r="A35" s="209" t="s">
        <v>51</v>
      </c>
      <c r="B35" s="212">
        <v>721000</v>
      </c>
      <c r="C35" s="203">
        <f>SUM(108000+18000)</f>
        <v>126000</v>
      </c>
      <c r="D35" s="203"/>
      <c r="F35" s="206"/>
      <c r="G35" s="206"/>
    </row>
    <row r="36" spans="1:7" s="9" customFormat="1" ht="21">
      <c r="A36" s="209" t="s">
        <v>53</v>
      </c>
      <c r="B36" s="212">
        <v>732000</v>
      </c>
      <c r="C36" s="203">
        <v>0</v>
      </c>
      <c r="D36" s="203"/>
      <c r="F36" s="206"/>
      <c r="G36" s="206"/>
    </row>
    <row r="37" spans="1:7" s="9" customFormat="1" ht="21">
      <c r="A37" s="209" t="s">
        <v>54</v>
      </c>
      <c r="B37" s="212">
        <v>733000</v>
      </c>
      <c r="C37" s="203">
        <v>0</v>
      </c>
      <c r="D37" s="203"/>
      <c r="F37" s="206"/>
      <c r="G37" s="206"/>
    </row>
    <row r="38" spans="1:7" s="9" customFormat="1" ht="21">
      <c r="A38" s="209" t="s">
        <v>188</v>
      </c>
      <c r="B38" s="212">
        <v>741000</v>
      </c>
      <c r="C38" s="203">
        <v>0</v>
      </c>
      <c r="D38" s="203"/>
      <c r="F38" s="206"/>
      <c r="G38" s="206"/>
    </row>
    <row r="39" spans="1:6" s="9" customFormat="1" ht="21.75" thickBot="1">
      <c r="A39" s="214"/>
      <c r="B39" s="215"/>
      <c r="C39" s="192">
        <f>SUM(C5:C38)</f>
        <v>50010080.83</v>
      </c>
      <c r="D39" s="192">
        <f>SUM(D5:D38)</f>
        <v>50010080.83</v>
      </c>
      <c r="E39" s="207"/>
      <c r="F39" s="216">
        <f>SUM(C39-D39)</f>
        <v>0</v>
      </c>
    </row>
    <row r="40" ht="22.5" thickTop="1">
      <c r="E40" s="190"/>
    </row>
    <row r="41" ht="21.75">
      <c r="E41" s="190"/>
    </row>
    <row r="42" ht="21.75">
      <c r="E42" s="190"/>
    </row>
    <row r="43" ht="21.75">
      <c r="E43" s="190"/>
    </row>
    <row r="63" spans="1:4" ht="21.75">
      <c r="A63" s="226"/>
      <c r="B63" s="226"/>
      <c r="C63" s="226"/>
      <c r="D63" s="226"/>
    </row>
  </sheetData>
  <sheetProtection/>
  <mergeCells count="4">
    <mergeCell ref="A63:D63"/>
    <mergeCell ref="A1:D1"/>
    <mergeCell ref="A2:D2"/>
    <mergeCell ref="A3:D3"/>
  </mergeCells>
  <printOptions/>
  <pageMargins left="0.5511811023622047" right="0.5511811023622047" top="0.3937007874015748" bottom="0.1968503937007874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47" sqref="A47:IV63"/>
    </sheetView>
  </sheetViews>
  <sheetFormatPr defaultColWidth="9.140625" defaultRowHeight="12.75"/>
  <cols>
    <col min="1" max="1" width="53.00390625" style="7" customWidth="1"/>
    <col min="2" max="2" width="6.28125" style="7" customWidth="1"/>
    <col min="3" max="3" width="16.421875" style="8" customWidth="1"/>
    <col min="4" max="4" width="20.28125" style="7" customWidth="1"/>
    <col min="5" max="16384" width="9.140625" style="7" customWidth="1"/>
  </cols>
  <sheetData>
    <row r="1" spans="1:4" s="9" customFormat="1" ht="21">
      <c r="A1" s="224" t="s">
        <v>60</v>
      </c>
      <c r="B1" s="224"/>
      <c r="C1" s="224"/>
      <c r="D1" s="224"/>
    </row>
    <row r="2" spans="1:4" s="9" customFormat="1" ht="21">
      <c r="A2" s="224" t="s">
        <v>108</v>
      </c>
      <c r="B2" s="224"/>
      <c r="C2" s="224"/>
      <c r="D2" s="224"/>
    </row>
    <row r="3" spans="1:4" s="9" customFormat="1" ht="21">
      <c r="A3" s="227" t="s">
        <v>289</v>
      </c>
      <c r="B3" s="227"/>
      <c r="C3" s="227"/>
      <c r="D3" s="227"/>
    </row>
    <row r="4" spans="1:4" ht="18">
      <c r="A4" s="74" t="s">
        <v>42</v>
      </c>
      <c r="B4" s="74" t="s">
        <v>43</v>
      </c>
      <c r="C4" s="75" t="s">
        <v>67</v>
      </c>
      <c r="D4" s="74" t="s">
        <v>68</v>
      </c>
    </row>
    <row r="5" spans="1:5" ht="18">
      <c r="A5" s="16" t="s">
        <v>70</v>
      </c>
      <c r="B5" s="17">
        <v>410000</v>
      </c>
      <c r="C5" s="18">
        <f>SUM(C6+C10+C14+C16+C17)</f>
        <v>433800</v>
      </c>
      <c r="D5" s="75">
        <f>SUM(D6+D10+D14+D16+D17)</f>
        <v>320050.81999999995</v>
      </c>
      <c r="E5" s="14"/>
    </row>
    <row r="6" spans="1:5" ht="18">
      <c r="A6" s="19" t="s">
        <v>71</v>
      </c>
      <c r="B6" s="10">
        <v>411000</v>
      </c>
      <c r="C6" s="11">
        <f>SUM(C7:C9)</f>
        <v>68400</v>
      </c>
      <c r="D6" s="76">
        <f>SUM(D7:D9)</f>
        <v>42098.59</v>
      </c>
      <c r="E6" s="14"/>
    </row>
    <row r="7" spans="1:4" ht="18">
      <c r="A7" s="20" t="s">
        <v>214</v>
      </c>
      <c r="B7" s="21">
        <v>411001</v>
      </c>
      <c r="C7" s="22">
        <v>24400</v>
      </c>
      <c r="D7" s="77">
        <v>22825</v>
      </c>
    </row>
    <row r="8" spans="1:5" ht="18">
      <c r="A8" s="25" t="s">
        <v>215</v>
      </c>
      <c r="B8" s="26">
        <v>411002</v>
      </c>
      <c r="C8" s="27">
        <v>44000</v>
      </c>
      <c r="D8" s="78">
        <v>19073.59</v>
      </c>
      <c r="E8" s="14"/>
    </row>
    <row r="9" spans="1:4" ht="18">
      <c r="A9" s="30" t="s">
        <v>216</v>
      </c>
      <c r="B9" s="31">
        <v>411003</v>
      </c>
      <c r="C9" s="32">
        <v>0</v>
      </c>
      <c r="D9" s="79">
        <v>200</v>
      </c>
    </row>
    <row r="10" spans="1:4" ht="18">
      <c r="A10" s="19" t="s">
        <v>72</v>
      </c>
      <c r="B10" s="10">
        <v>412000</v>
      </c>
      <c r="C10" s="11">
        <f>SUM(C11:C13)</f>
        <v>7400</v>
      </c>
      <c r="D10" s="76">
        <f>SUM(D11:D13)</f>
        <v>313.4</v>
      </c>
    </row>
    <row r="11" spans="1:4" ht="18">
      <c r="A11" s="20" t="s">
        <v>217</v>
      </c>
      <c r="B11" s="21">
        <v>412103</v>
      </c>
      <c r="C11" s="22">
        <v>100</v>
      </c>
      <c r="D11" s="77">
        <v>213.4</v>
      </c>
    </row>
    <row r="12" spans="1:4" ht="18">
      <c r="A12" s="25" t="s">
        <v>218</v>
      </c>
      <c r="B12" s="26">
        <v>412128</v>
      </c>
      <c r="C12" s="27">
        <v>0</v>
      </c>
      <c r="D12" s="78">
        <v>100</v>
      </c>
    </row>
    <row r="13" spans="1:4" ht="18">
      <c r="A13" s="30" t="s">
        <v>219</v>
      </c>
      <c r="B13" s="31">
        <v>412210</v>
      </c>
      <c r="C13" s="32">
        <v>7300</v>
      </c>
      <c r="D13" s="79">
        <v>0</v>
      </c>
    </row>
    <row r="14" spans="1:4" ht="18">
      <c r="A14" s="19" t="s">
        <v>73</v>
      </c>
      <c r="B14" s="10">
        <v>413000</v>
      </c>
      <c r="C14" s="11">
        <f>SUM(C15)</f>
        <v>282500</v>
      </c>
      <c r="D14" s="76">
        <f>SUM(D15)</f>
        <v>215628.83</v>
      </c>
    </row>
    <row r="15" spans="1:4" ht="18">
      <c r="A15" s="35" t="s">
        <v>220</v>
      </c>
      <c r="B15" s="10">
        <v>413003</v>
      </c>
      <c r="C15" s="36">
        <v>282500</v>
      </c>
      <c r="D15" s="76">
        <v>215628.83</v>
      </c>
    </row>
    <row r="16" spans="1:4" ht="18">
      <c r="A16" s="19" t="s">
        <v>74</v>
      </c>
      <c r="B16" s="10">
        <v>414000</v>
      </c>
      <c r="C16" s="11">
        <v>0</v>
      </c>
      <c r="D16" s="76">
        <v>0</v>
      </c>
    </row>
    <row r="17" spans="1:4" ht="18">
      <c r="A17" s="19" t="s">
        <v>75</v>
      </c>
      <c r="B17" s="10">
        <v>415000</v>
      </c>
      <c r="C17" s="11">
        <f>SUM(C18:C20)</f>
        <v>75500</v>
      </c>
      <c r="D17" s="77">
        <f>SUM(D18:D20)</f>
        <v>62010</v>
      </c>
    </row>
    <row r="18" spans="1:4" ht="18">
      <c r="A18" s="20" t="s">
        <v>276</v>
      </c>
      <c r="B18" s="21">
        <v>415003</v>
      </c>
      <c r="C18" s="24">
        <v>0</v>
      </c>
      <c r="D18" s="77">
        <v>10</v>
      </c>
    </row>
    <row r="19" spans="1:4" ht="18">
      <c r="A19" s="25" t="s">
        <v>222</v>
      </c>
      <c r="B19" s="26">
        <v>415004</v>
      </c>
      <c r="C19" s="29">
        <v>75000</v>
      </c>
      <c r="D19" s="78">
        <v>58500</v>
      </c>
    </row>
    <row r="20" spans="1:4" ht="18">
      <c r="A20" s="30" t="s">
        <v>221</v>
      </c>
      <c r="B20" s="31">
        <v>415999</v>
      </c>
      <c r="C20" s="71">
        <v>500</v>
      </c>
      <c r="D20" s="79">
        <v>3500</v>
      </c>
    </row>
    <row r="21" spans="1:4" ht="18">
      <c r="A21" s="30" t="s">
        <v>76</v>
      </c>
      <c r="B21" s="15">
        <v>420000</v>
      </c>
      <c r="C21" s="33">
        <f>SUM(C22)</f>
        <v>11570350</v>
      </c>
      <c r="D21" s="79">
        <f>SUM(D22)</f>
        <v>6834545.54</v>
      </c>
    </row>
    <row r="22" spans="1:4" ht="18">
      <c r="A22" s="19" t="s">
        <v>71</v>
      </c>
      <c r="B22" s="10">
        <v>421000</v>
      </c>
      <c r="C22" s="11">
        <f>SUM(C23:C31)</f>
        <v>11570350</v>
      </c>
      <c r="D22" s="76">
        <f>SUM(D23:D31)</f>
        <v>6834545.54</v>
      </c>
    </row>
    <row r="23" spans="1:4" ht="18">
      <c r="A23" s="20" t="s">
        <v>223</v>
      </c>
      <c r="B23" s="21">
        <v>421001</v>
      </c>
      <c r="C23" s="22">
        <v>100000</v>
      </c>
      <c r="D23" s="77">
        <v>0</v>
      </c>
    </row>
    <row r="24" spans="1:4" ht="18">
      <c r="A24" s="25" t="s">
        <v>230</v>
      </c>
      <c r="B24" s="26">
        <v>421002</v>
      </c>
      <c r="C24" s="27">
        <v>8494050</v>
      </c>
      <c r="D24" s="78">
        <v>4333366.9</v>
      </c>
    </row>
    <row r="25" spans="1:4" ht="18">
      <c r="A25" s="25" t="s">
        <v>224</v>
      </c>
      <c r="B25" s="26">
        <v>421004</v>
      </c>
      <c r="C25" s="27">
        <v>0</v>
      </c>
      <c r="D25" s="78">
        <v>983570.56</v>
      </c>
    </row>
    <row r="26" spans="1:4" ht="18">
      <c r="A26" s="25" t="s">
        <v>225</v>
      </c>
      <c r="B26" s="26">
        <v>421005</v>
      </c>
      <c r="C26" s="27">
        <v>26700</v>
      </c>
      <c r="D26" s="78">
        <v>18043.18</v>
      </c>
    </row>
    <row r="27" spans="1:4" ht="18">
      <c r="A27" s="25" t="s">
        <v>226</v>
      </c>
      <c r="B27" s="26">
        <v>421006</v>
      </c>
      <c r="C27" s="27">
        <v>942500</v>
      </c>
      <c r="D27" s="78">
        <v>551604.97</v>
      </c>
    </row>
    <row r="28" spans="1:4" ht="18">
      <c r="A28" s="25" t="s">
        <v>227</v>
      </c>
      <c r="B28" s="26">
        <v>421007</v>
      </c>
      <c r="C28" s="27">
        <v>1693700</v>
      </c>
      <c r="D28" s="78">
        <v>729335.54</v>
      </c>
    </row>
    <row r="29" spans="1:4" ht="18">
      <c r="A29" s="25" t="s">
        <v>228</v>
      </c>
      <c r="B29" s="26">
        <v>421012</v>
      </c>
      <c r="C29" s="27">
        <v>32200</v>
      </c>
      <c r="D29" s="78">
        <v>10679.63</v>
      </c>
    </row>
    <row r="30" spans="1:4" ht="18">
      <c r="A30" s="25" t="s">
        <v>229</v>
      </c>
      <c r="B30" s="26">
        <v>421013</v>
      </c>
      <c r="C30" s="27">
        <v>68800</v>
      </c>
      <c r="D30" s="78">
        <v>43272.76</v>
      </c>
    </row>
    <row r="31" spans="1:4" ht="18">
      <c r="A31" s="30" t="s">
        <v>231</v>
      </c>
      <c r="B31" s="31">
        <v>421015</v>
      </c>
      <c r="C31" s="32">
        <v>212400</v>
      </c>
      <c r="D31" s="79">
        <v>164672</v>
      </c>
    </row>
    <row r="32" spans="1:4" ht="18">
      <c r="A32" s="35" t="s">
        <v>77</v>
      </c>
      <c r="B32" s="17">
        <v>430000</v>
      </c>
      <c r="C32" s="11">
        <f>SUM(C33)</f>
        <v>7629700</v>
      </c>
      <c r="D32" s="76">
        <f>SUM(D33)</f>
        <v>8651221</v>
      </c>
    </row>
    <row r="33" spans="1:4" ht="18">
      <c r="A33" s="19" t="s">
        <v>78</v>
      </c>
      <c r="B33" s="10">
        <v>431000</v>
      </c>
      <c r="C33" s="11">
        <f>SUM(C34)</f>
        <v>7629700</v>
      </c>
      <c r="D33" s="76">
        <f>SUM(D34)</f>
        <v>8651221</v>
      </c>
    </row>
    <row r="34" spans="1:4" ht="18">
      <c r="A34" s="35" t="s">
        <v>232</v>
      </c>
      <c r="B34" s="10">
        <v>431002</v>
      </c>
      <c r="C34" s="36">
        <v>7629700</v>
      </c>
      <c r="D34" s="76">
        <v>8651221</v>
      </c>
    </row>
    <row r="35" spans="1:4" ht="18">
      <c r="A35" s="35" t="s">
        <v>105</v>
      </c>
      <c r="B35" s="17">
        <v>440000</v>
      </c>
      <c r="C35" s="11">
        <f>SUM(C36)</f>
        <v>0</v>
      </c>
      <c r="D35" s="76">
        <f>SUM(D36)</f>
        <v>5994960</v>
      </c>
    </row>
    <row r="36" spans="1:4" ht="18">
      <c r="A36" s="19" t="s">
        <v>106</v>
      </c>
      <c r="B36" s="10">
        <v>441000</v>
      </c>
      <c r="C36" s="11">
        <f>SUM(C37)</f>
        <v>0</v>
      </c>
      <c r="D36" s="76">
        <f>SUM(D37:D42)</f>
        <v>5994960</v>
      </c>
    </row>
    <row r="37" spans="1:4" ht="18">
      <c r="A37" s="20" t="s">
        <v>233</v>
      </c>
      <c r="B37" s="21">
        <v>441002</v>
      </c>
      <c r="C37" s="22">
        <v>0</v>
      </c>
      <c r="D37" s="77">
        <v>4957200</v>
      </c>
    </row>
    <row r="38" spans="1:4" ht="18">
      <c r="A38" s="25" t="s">
        <v>234</v>
      </c>
      <c r="B38" s="26">
        <v>441002</v>
      </c>
      <c r="C38" s="27">
        <v>0</v>
      </c>
      <c r="D38" s="78">
        <v>906000</v>
      </c>
    </row>
    <row r="39" spans="1:4" ht="18">
      <c r="A39" s="25" t="s">
        <v>235</v>
      </c>
      <c r="B39" s="155">
        <v>441002</v>
      </c>
      <c r="C39" s="27">
        <v>0</v>
      </c>
      <c r="D39" s="78">
        <v>131760</v>
      </c>
    </row>
    <row r="40" spans="1:4" ht="18">
      <c r="A40" s="25" t="s">
        <v>236</v>
      </c>
      <c r="B40" s="155">
        <v>441002</v>
      </c>
      <c r="C40" s="27">
        <v>0</v>
      </c>
      <c r="D40" s="78">
        <v>0</v>
      </c>
    </row>
    <row r="41" spans="1:4" ht="18">
      <c r="A41" s="172" t="s">
        <v>237</v>
      </c>
      <c r="B41" s="155">
        <v>441002</v>
      </c>
      <c r="C41" s="27">
        <v>0</v>
      </c>
      <c r="D41" s="78">
        <v>0</v>
      </c>
    </row>
    <row r="42" spans="1:4" ht="18">
      <c r="A42" s="30" t="s">
        <v>238</v>
      </c>
      <c r="B42" s="155">
        <v>441002</v>
      </c>
      <c r="C42" s="32">
        <v>0</v>
      </c>
      <c r="D42" s="78">
        <v>0</v>
      </c>
    </row>
    <row r="43" spans="1:4" ht="18.75" thickBot="1">
      <c r="A43" s="156" t="s">
        <v>69</v>
      </c>
      <c r="B43" s="35"/>
      <c r="C43" s="37">
        <f>SUM(C5+C21+C32)</f>
        <v>19633850</v>
      </c>
      <c r="D43" s="92">
        <f>SUM(D5+D21+D32+D36)</f>
        <v>21800777.36</v>
      </c>
    </row>
    <row r="44" ht="18.75" thickTop="1">
      <c r="E44" s="14"/>
    </row>
  </sheetData>
  <sheetProtection/>
  <mergeCells count="3">
    <mergeCell ref="A1:D1"/>
    <mergeCell ref="A2:D2"/>
    <mergeCell ref="A3:D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A18" sqref="A18:IV31"/>
    </sheetView>
  </sheetViews>
  <sheetFormatPr defaultColWidth="9.140625" defaultRowHeight="12.75"/>
  <cols>
    <col min="1" max="1" width="38.28125" style="1" customWidth="1"/>
    <col min="2" max="2" width="12.57421875" style="1" customWidth="1"/>
    <col min="3" max="4" width="11.7109375" style="1" customWidth="1"/>
    <col min="5" max="5" width="13.28125" style="1" customWidth="1"/>
    <col min="6" max="6" width="3.57421875" style="1" customWidth="1"/>
    <col min="7" max="7" width="12.8515625" style="1" customWidth="1"/>
    <col min="8" max="8" width="11.00390625" style="1" customWidth="1"/>
    <col min="9" max="9" width="11.28125" style="1" bestFit="1" customWidth="1"/>
    <col min="10" max="10" width="12.7109375" style="1" customWidth="1"/>
    <col min="11" max="16384" width="9.140625" style="1" customWidth="1"/>
  </cols>
  <sheetData>
    <row r="1" spans="1:5" ht="23.25">
      <c r="A1" s="228" t="s">
        <v>60</v>
      </c>
      <c r="B1" s="228"/>
      <c r="C1" s="228"/>
      <c r="D1" s="228"/>
      <c r="E1" s="228"/>
    </row>
    <row r="2" spans="1:5" ht="23.25">
      <c r="A2" s="228" t="s">
        <v>109</v>
      </c>
      <c r="B2" s="228"/>
      <c r="C2" s="228"/>
      <c r="D2" s="228"/>
      <c r="E2" s="228"/>
    </row>
    <row r="3" spans="1:4" ht="23.25">
      <c r="A3" s="229"/>
      <c r="B3" s="228"/>
      <c r="C3" s="228"/>
      <c r="D3" s="228"/>
    </row>
    <row r="4" spans="1:4" ht="23.25">
      <c r="A4" s="230" t="s">
        <v>290</v>
      </c>
      <c r="B4" s="231"/>
      <c r="C4" s="231"/>
      <c r="D4" s="231"/>
    </row>
    <row r="5" spans="1:10" ht="23.25">
      <c r="A5" s="179"/>
      <c r="B5" s="182"/>
      <c r="C5" s="2" t="s">
        <v>1</v>
      </c>
      <c r="D5" s="2" t="s">
        <v>2</v>
      </c>
      <c r="E5" s="2" t="s">
        <v>3</v>
      </c>
      <c r="G5" s="2" t="s">
        <v>16</v>
      </c>
      <c r="H5" s="2" t="s">
        <v>1</v>
      </c>
      <c r="I5" s="2" t="s">
        <v>2</v>
      </c>
      <c r="J5" s="2" t="s">
        <v>3</v>
      </c>
    </row>
    <row r="6" spans="1:10" ht="23.25">
      <c r="A6" s="1" t="s">
        <v>65</v>
      </c>
      <c r="B6" s="57"/>
      <c r="C6" s="5">
        <f>SUM(H6)</f>
        <v>5273.83</v>
      </c>
      <c r="D6" s="4">
        <f aca="true" t="shared" si="0" ref="D6:E13">SUM(I6)</f>
        <v>3351.59</v>
      </c>
      <c r="E6" s="5">
        <f t="shared" si="0"/>
        <v>5373.83</v>
      </c>
      <c r="G6" s="4">
        <v>3451.59</v>
      </c>
      <c r="H6" s="5">
        <v>5273.83</v>
      </c>
      <c r="I6" s="4">
        <v>3351.59</v>
      </c>
      <c r="J6" s="5">
        <f aca="true" t="shared" si="1" ref="J6:J11">SUM(G6+H6-I6)</f>
        <v>5373.83</v>
      </c>
    </row>
    <row r="7" spans="1:10" ht="23.25">
      <c r="A7" s="1" t="s">
        <v>63</v>
      </c>
      <c r="B7" s="57"/>
      <c r="C7" s="5">
        <f aca="true" t="shared" si="2" ref="C7:C13">SUM(H7)</f>
        <v>999.05</v>
      </c>
      <c r="D7" s="4">
        <f t="shared" si="0"/>
        <v>0</v>
      </c>
      <c r="E7" s="5">
        <f t="shared" si="0"/>
        <v>6035.8</v>
      </c>
      <c r="G7" s="4">
        <v>5036.75</v>
      </c>
      <c r="H7" s="5">
        <v>999.05</v>
      </c>
      <c r="I7" s="4">
        <v>0</v>
      </c>
      <c r="J7" s="5">
        <f t="shared" si="1"/>
        <v>6035.8</v>
      </c>
    </row>
    <row r="8" spans="1:10" ht="23.25">
      <c r="A8" s="1" t="s">
        <v>64</v>
      </c>
      <c r="B8" s="57"/>
      <c r="C8" s="5">
        <f t="shared" si="2"/>
        <v>1198.86</v>
      </c>
      <c r="D8" s="4">
        <f t="shared" si="0"/>
        <v>0</v>
      </c>
      <c r="E8" s="5">
        <f t="shared" si="0"/>
        <v>10353.54</v>
      </c>
      <c r="G8" s="4">
        <v>9154.68</v>
      </c>
      <c r="H8" s="5">
        <v>1198.86</v>
      </c>
      <c r="I8" s="4">
        <v>0</v>
      </c>
      <c r="J8" s="5">
        <f t="shared" si="1"/>
        <v>10353.54</v>
      </c>
    </row>
    <row r="9" spans="1:10" ht="23.25">
      <c r="A9" s="1" t="s">
        <v>239</v>
      </c>
      <c r="B9" s="57"/>
      <c r="C9" s="5">
        <f t="shared" si="2"/>
        <v>85805</v>
      </c>
      <c r="D9" s="4">
        <f t="shared" si="0"/>
        <v>0</v>
      </c>
      <c r="E9" s="5">
        <f>SUM(J9)</f>
        <v>291789</v>
      </c>
      <c r="G9" s="4">
        <v>205984</v>
      </c>
      <c r="H9" s="5">
        <v>85805</v>
      </c>
      <c r="I9" s="4">
        <v>0</v>
      </c>
      <c r="J9" s="5">
        <f>SUM(G9+H9-I9)</f>
        <v>291789</v>
      </c>
    </row>
    <row r="10" spans="1:10" ht="23.25">
      <c r="A10" s="1" t="s">
        <v>80</v>
      </c>
      <c r="B10" s="57"/>
      <c r="C10" s="5">
        <f t="shared" si="2"/>
        <v>0</v>
      </c>
      <c r="D10" s="4">
        <f t="shared" si="0"/>
        <v>0</v>
      </c>
      <c r="E10" s="5">
        <f t="shared" si="0"/>
        <v>224013.03</v>
      </c>
      <c r="G10" s="4">
        <v>224013.03</v>
      </c>
      <c r="H10" s="5">
        <v>0</v>
      </c>
      <c r="I10" s="4">
        <v>0</v>
      </c>
      <c r="J10" s="5">
        <f t="shared" si="1"/>
        <v>224013.03</v>
      </c>
    </row>
    <row r="11" spans="1:10" ht="23.25">
      <c r="A11" s="1" t="s">
        <v>163</v>
      </c>
      <c r="B11" s="57"/>
      <c r="C11" s="5">
        <f t="shared" si="2"/>
        <v>12.34</v>
      </c>
      <c r="D11" s="4">
        <f t="shared" si="0"/>
        <v>0</v>
      </c>
      <c r="E11" s="5">
        <f t="shared" si="0"/>
        <v>1153230.48</v>
      </c>
      <c r="G11" s="4">
        <v>1153218.14</v>
      </c>
      <c r="H11" s="5">
        <v>12.34</v>
      </c>
      <c r="I11" s="4">
        <v>0</v>
      </c>
      <c r="J11" s="5">
        <f t="shared" si="1"/>
        <v>1153230.48</v>
      </c>
    </row>
    <row r="12" spans="1:10" ht="23.25">
      <c r="A12" s="1" t="s">
        <v>104</v>
      </c>
      <c r="B12" s="57"/>
      <c r="C12" s="5">
        <f t="shared" si="2"/>
        <v>0</v>
      </c>
      <c r="D12" s="4">
        <f t="shared" si="0"/>
        <v>0</v>
      </c>
      <c r="E12" s="5">
        <f t="shared" si="0"/>
        <v>1680</v>
      </c>
      <c r="G12" s="4">
        <v>1680</v>
      </c>
      <c r="H12" s="5">
        <v>0</v>
      </c>
      <c r="I12" s="4">
        <v>0</v>
      </c>
      <c r="J12" s="5">
        <f>SUM(G12+H12-I12)</f>
        <v>1680</v>
      </c>
    </row>
    <row r="13" spans="1:10" ht="23.25">
      <c r="A13" s="1" t="s">
        <v>278</v>
      </c>
      <c r="B13" s="57"/>
      <c r="C13" s="5">
        <f t="shared" si="2"/>
        <v>780</v>
      </c>
      <c r="D13" s="4">
        <f t="shared" si="0"/>
        <v>0</v>
      </c>
      <c r="E13" s="5">
        <f>SUM(J13)</f>
        <v>1570</v>
      </c>
      <c r="G13" s="4">
        <v>790</v>
      </c>
      <c r="H13" s="5">
        <v>780</v>
      </c>
      <c r="I13" s="4">
        <v>0</v>
      </c>
      <c r="J13" s="5">
        <f>SUM(G13+H13-I13)</f>
        <v>1570</v>
      </c>
    </row>
    <row r="14" spans="2:10" ht="24" thickBot="1">
      <c r="B14" s="57"/>
      <c r="C14" s="3">
        <f>SUM(C6:C13)</f>
        <v>94069.08</v>
      </c>
      <c r="D14" s="3">
        <f>SUM(D6:D13)</f>
        <v>3351.59</v>
      </c>
      <c r="E14" s="6">
        <f>SUM(E6:E13)</f>
        <v>1694045.68</v>
      </c>
      <c r="F14" s="69"/>
      <c r="G14" s="3">
        <f>SUM(G6:G13)</f>
        <v>1603328.19</v>
      </c>
      <c r="H14" s="3">
        <f>SUM(H6:H13)</f>
        <v>94069.08</v>
      </c>
      <c r="I14" s="3">
        <f>SUM(I6:I13)</f>
        <v>3351.59</v>
      </c>
      <c r="J14" s="6">
        <f>SUM(G14+H14-I14)</f>
        <v>1694045.68</v>
      </c>
    </row>
    <row r="15" ht="24" thickTop="1"/>
    <row r="18" spans="1:5" ht="23.25">
      <c r="A18" s="232"/>
      <c r="B18" s="232"/>
      <c r="C18" s="232"/>
      <c r="D18" s="232"/>
      <c r="E18" s="232"/>
    </row>
    <row r="19" spans="1:5" ht="23.25">
      <c r="A19" s="233"/>
      <c r="B19" s="234"/>
      <c r="C19" s="234"/>
      <c r="D19" s="234"/>
      <c r="E19" s="44"/>
    </row>
    <row r="20" spans="1:5" ht="23.25">
      <c r="A20" s="233"/>
      <c r="B20" s="234"/>
      <c r="C20" s="234"/>
      <c r="D20" s="234"/>
      <c r="E20" s="44"/>
    </row>
    <row r="21" spans="1:5" ht="23.25">
      <c r="A21" s="180"/>
      <c r="B21" s="181"/>
      <c r="C21" s="181"/>
      <c r="D21" s="181"/>
      <c r="E21" s="44"/>
    </row>
    <row r="22" spans="1:5" ht="23.25">
      <c r="A22" s="182"/>
      <c r="B22" s="182"/>
      <c r="C22" s="182"/>
      <c r="D22" s="182"/>
      <c r="E22" s="182"/>
    </row>
    <row r="23" spans="1:5" ht="23.25">
      <c r="A23" s="44"/>
      <c r="B23" s="57"/>
      <c r="C23" s="80"/>
      <c r="D23" s="57"/>
      <c r="E23" s="80"/>
    </row>
    <row r="24" spans="1:5" ht="23.25">
      <c r="A24" s="44"/>
      <c r="B24" s="57"/>
      <c r="C24" s="80"/>
      <c r="D24" s="57"/>
      <c r="E24" s="80"/>
    </row>
    <row r="25" spans="1:5" ht="23.25">
      <c r="A25" s="44"/>
      <c r="B25" s="57"/>
      <c r="C25" s="80"/>
      <c r="D25" s="57"/>
      <c r="E25" s="80"/>
    </row>
    <row r="26" spans="1:5" ht="23.25">
      <c r="A26" s="44"/>
      <c r="B26" s="57"/>
      <c r="C26" s="80"/>
      <c r="D26" s="57"/>
      <c r="E26" s="80"/>
    </row>
    <row r="27" spans="1:5" ht="23.25">
      <c r="A27" s="44"/>
      <c r="B27" s="57"/>
      <c r="C27" s="80"/>
      <c r="D27" s="57"/>
      <c r="E27" s="80"/>
    </row>
    <row r="28" spans="1:5" ht="23.25">
      <c r="A28" s="44"/>
      <c r="B28" s="57"/>
      <c r="C28" s="80"/>
      <c r="D28" s="57"/>
      <c r="E28" s="80"/>
    </row>
    <row r="29" spans="1:5" ht="23.25">
      <c r="A29" s="44"/>
      <c r="B29" s="57"/>
      <c r="C29" s="80"/>
      <c r="D29" s="57"/>
      <c r="E29" s="80"/>
    </row>
    <row r="30" spans="1:5" ht="23.25">
      <c r="A30" s="44"/>
      <c r="B30" s="57"/>
      <c r="C30" s="57"/>
      <c r="D30" s="57"/>
      <c r="E30" s="80"/>
    </row>
    <row r="31" spans="1:5" ht="23.25">
      <c r="A31" s="44"/>
      <c r="B31" s="44"/>
      <c r="C31" s="44"/>
      <c r="D31" s="44"/>
      <c r="E31" s="44"/>
    </row>
    <row r="32" spans="1:5" ht="23.25">
      <c r="A32" s="44"/>
      <c r="B32" s="44"/>
      <c r="C32" s="44"/>
      <c r="D32" s="44"/>
      <c r="E32" s="44"/>
    </row>
    <row r="33" spans="1:5" ht="23.25">
      <c r="A33" s="44"/>
      <c r="B33" s="44"/>
      <c r="C33" s="44"/>
      <c r="D33" s="44"/>
      <c r="E33" s="44"/>
    </row>
    <row r="34" spans="1:5" ht="23.25">
      <c r="A34" s="44"/>
      <c r="B34" s="44"/>
      <c r="C34" s="44"/>
      <c r="D34" s="44"/>
      <c r="E34" s="44"/>
    </row>
    <row r="35" spans="1:5" ht="23.25">
      <c r="A35" s="44"/>
      <c r="B35" s="44"/>
      <c r="C35" s="44"/>
      <c r="D35" s="44"/>
      <c r="E35" s="44"/>
    </row>
    <row r="36" spans="1:5" ht="23.25">
      <c r="A36" s="44"/>
      <c r="B36" s="44"/>
      <c r="C36" s="44"/>
      <c r="D36" s="44"/>
      <c r="E36" s="44"/>
    </row>
    <row r="37" spans="1:5" ht="23.25">
      <c r="A37" s="44"/>
      <c r="B37" s="44"/>
      <c r="C37" s="44"/>
      <c r="D37" s="44"/>
      <c r="E37" s="44"/>
    </row>
    <row r="38" spans="1:5" ht="23.25">
      <c r="A38" s="44"/>
      <c r="B38" s="44"/>
      <c r="C38" s="44"/>
      <c r="D38" s="44"/>
      <c r="E38" s="44"/>
    </row>
    <row r="39" spans="1:5" ht="23.25">
      <c r="A39" s="44"/>
      <c r="B39" s="44"/>
      <c r="C39" s="44"/>
      <c r="D39" s="44"/>
      <c r="E39" s="44"/>
    </row>
    <row r="40" spans="1:5" ht="23.25">
      <c r="A40" s="44"/>
      <c r="B40" s="44"/>
      <c r="C40" s="44"/>
      <c r="D40" s="44"/>
      <c r="E40" s="44"/>
    </row>
    <row r="41" spans="1:5" ht="23.25">
      <c r="A41" s="44"/>
      <c r="B41" s="44"/>
      <c r="C41" s="44"/>
      <c r="D41" s="44"/>
      <c r="E41" s="44"/>
    </row>
    <row r="42" spans="1:5" ht="23.25">
      <c r="A42" s="44"/>
      <c r="B42" s="44"/>
      <c r="C42" s="44"/>
      <c r="D42" s="44"/>
      <c r="E42" s="44"/>
    </row>
    <row r="43" spans="1:5" ht="23.25">
      <c r="A43" s="44"/>
      <c r="B43" s="44"/>
      <c r="C43" s="44"/>
      <c r="D43" s="44"/>
      <c r="E43" s="44"/>
    </row>
    <row r="44" spans="1:5" ht="23.25">
      <c r="A44" s="44"/>
      <c r="B44" s="44"/>
      <c r="C44" s="44"/>
      <c r="D44" s="44"/>
      <c r="E44" s="44"/>
    </row>
    <row r="45" spans="1:5" ht="23.25">
      <c r="A45" s="44"/>
      <c r="B45" s="44"/>
      <c r="C45" s="44"/>
      <c r="D45" s="44"/>
      <c r="E45" s="44"/>
    </row>
    <row r="46" spans="1:5" ht="23.25">
      <c r="A46" s="44"/>
      <c r="B46" s="44"/>
      <c r="C46" s="44"/>
      <c r="D46" s="44"/>
      <c r="E46" s="44"/>
    </row>
    <row r="47" spans="1:5" ht="23.25">
      <c r="A47" s="44"/>
      <c r="B47" s="44"/>
      <c r="C47" s="44"/>
      <c r="D47" s="44"/>
      <c r="E47" s="44"/>
    </row>
    <row r="48" spans="1:5" ht="23.25">
      <c r="A48" s="44"/>
      <c r="B48" s="44"/>
      <c r="C48" s="44"/>
      <c r="D48" s="44"/>
      <c r="E48" s="44"/>
    </row>
    <row r="49" spans="1:5" ht="23.25">
      <c r="A49" s="44"/>
      <c r="B49" s="44"/>
      <c r="C49" s="44"/>
      <c r="D49" s="44"/>
      <c r="E49" s="44"/>
    </row>
    <row r="50" spans="1:5" ht="23.25">
      <c r="A50" s="44"/>
      <c r="B50" s="44"/>
      <c r="C50" s="44"/>
      <c r="D50" s="44"/>
      <c r="E50" s="44"/>
    </row>
    <row r="51" spans="1:5" ht="23.25">
      <c r="A51" s="44"/>
      <c r="B51" s="44"/>
      <c r="C51" s="44"/>
      <c r="D51" s="44"/>
      <c r="E51" s="44"/>
    </row>
    <row r="52" spans="1:5" ht="23.25">
      <c r="A52" s="44"/>
      <c r="B52" s="44"/>
      <c r="C52" s="44"/>
      <c r="D52" s="44"/>
      <c r="E52" s="44"/>
    </row>
    <row r="53" spans="1:5" ht="23.25">
      <c r="A53" s="44"/>
      <c r="B53" s="44"/>
      <c r="C53" s="44"/>
      <c r="D53" s="44"/>
      <c r="E53" s="44"/>
    </row>
    <row r="54" spans="1:5" ht="23.25">
      <c r="A54" s="44"/>
      <c r="B54" s="44"/>
      <c r="C54" s="44"/>
      <c r="D54" s="44"/>
      <c r="E54" s="44"/>
    </row>
    <row r="55" spans="1:5" ht="23.25">
      <c r="A55" s="44"/>
      <c r="B55" s="44"/>
      <c r="C55" s="44"/>
      <c r="D55" s="44"/>
      <c r="E55" s="44"/>
    </row>
    <row r="56" spans="1:5" ht="23.25">
      <c r="A56" s="44"/>
      <c r="B56" s="44"/>
      <c r="C56" s="44"/>
      <c r="D56" s="44"/>
      <c r="E56" s="44"/>
    </row>
    <row r="57" spans="1:5" ht="23.25">
      <c r="A57" s="44"/>
      <c r="B57" s="44"/>
      <c r="C57" s="44"/>
      <c r="D57" s="44"/>
      <c r="E57" s="44"/>
    </row>
    <row r="58" spans="1:5" ht="23.25">
      <c r="A58" s="44"/>
      <c r="B58" s="44"/>
      <c r="C58" s="44"/>
      <c r="D58" s="44"/>
      <c r="E58" s="44"/>
    </row>
    <row r="59" spans="1:5" ht="23.25">
      <c r="A59" s="44"/>
      <c r="B59" s="44"/>
      <c r="C59" s="44"/>
      <c r="D59" s="44"/>
      <c r="E59" s="44"/>
    </row>
    <row r="60" spans="1:5" ht="23.25">
      <c r="A60" s="44"/>
      <c r="B60" s="44"/>
      <c r="C60" s="44"/>
      <c r="D60" s="44"/>
      <c r="E60" s="44"/>
    </row>
    <row r="61" spans="1:5" ht="23.25">
      <c r="A61" s="44"/>
      <c r="B61" s="44"/>
      <c r="C61" s="44"/>
      <c r="D61" s="44"/>
      <c r="E61" s="44"/>
    </row>
    <row r="62" spans="1:5" ht="23.25">
      <c r="A62" s="44"/>
      <c r="B62" s="44"/>
      <c r="C62" s="44"/>
      <c r="D62" s="44"/>
      <c r="E62" s="44"/>
    </row>
    <row r="63" spans="1:5" ht="23.25">
      <c r="A63" s="44"/>
      <c r="B63" s="44"/>
      <c r="C63" s="44"/>
      <c r="D63" s="44"/>
      <c r="E63" s="44"/>
    </row>
    <row r="64" spans="1:5" ht="23.25">
      <c r="A64" s="44"/>
      <c r="B64" s="44"/>
      <c r="C64" s="44"/>
      <c r="D64" s="44"/>
      <c r="E64" s="44"/>
    </row>
  </sheetData>
  <sheetProtection/>
  <mergeCells count="7">
    <mergeCell ref="A18:E18"/>
    <mergeCell ref="A20:D20"/>
    <mergeCell ref="A19:D19"/>
    <mergeCell ref="A1:E1"/>
    <mergeCell ref="A2:E2"/>
    <mergeCell ref="A3:D3"/>
    <mergeCell ref="A4:D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44.8515625" style="12" customWidth="1"/>
    <col min="2" max="3" width="11.7109375" style="12" customWidth="1"/>
    <col min="4" max="4" width="10.00390625" style="12" customWidth="1"/>
    <col min="5" max="5" width="11.28125" style="12" customWidth="1"/>
    <col min="6" max="6" width="8.00390625" style="12" customWidth="1"/>
    <col min="7" max="7" width="8.8515625" style="12" customWidth="1"/>
    <col min="8" max="16384" width="9.140625" style="12" customWidth="1"/>
  </cols>
  <sheetData>
    <row r="1" spans="1:6" ht="16.5">
      <c r="A1" s="240" t="s">
        <v>60</v>
      </c>
      <c r="B1" s="240"/>
      <c r="C1" s="240"/>
      <c r="D1" s="240"/>
      <c r="E1" s="240"/>
      <c r="F1" s="240"/>
    </row>
    <row r="2" spans="1:6" ht="16.5">
      <c r="A2" s="240" t="s">
        <v>109</v>
      </c>
      <c r="B2" s="240"/>
      <c r="C2" s="240"/>
      <c r="D2" s="240"/>
      <c r="E2" s="240"/>
      <c r="F2" s="240"/>
    </row>
    <row r="3" spans="1:6" ht="16.5">
      <c r="A3" s="240"/>
      <c r="B3" s="240"/>
      <c r="C3" s="240"/>
      <c r="D3" s="240"/>
      <c r="E3" s="240"/>
      <c r="F3" s="240"/>
    </row>
    <row r="4" spans="1:6" ht="16.5">
      <c r="A4" s="235" t="s">
        <v>291</v>
      </c>
      <c r="B4" s="235"/>
      <c r="C4" s="235"/>
      <c r="D4" s="235"/>
      <c r="E4" s="235"/>
      <c r="F4" s="235"/>
    </row>
    <row r="5" spans="1:6" ht="16.5">
      <c r="A5" s="39"/>
      <c r="B5" s="177"/>
      <c r="C5" s="177"/>
      <c r="D5" s="39"/>
      <c r="E5" s="39"/>
      <c r="F5" s="39"/>
    </row>
    <row r="6" spans="1:6" ht="16.5">
      <c r="A6" s="236" t="s">
        <v>40</v>
      </c>
      <c r="B6" s="238" t="s">
        <v>83</v>
      </c>
      <c r="C6" s="239"/>
      <c r="D6" s="236" t="s">
        <v>170</v>
      </c>
      <c r="E6" s="236" t="s">
        <v>3</v>
      </c>
      <c r="F6" s="236" t="s">
        <v>84</v>
      </c>
    </row>
    <row r="7" spans="1:6" ht="16.5">
      <c r="A7" s="237"/>
      <c r="B7" s="17" t="s">
        <v>171</v>
      </c>
      <c r="C7" s="17" t="s">
        <v>172</v>
      </c>
      <c r="D7" s="237"/>
      <c r="E7" s="237"/>
      <c r="F7" s="237"/>
    </row>
    <row r="8" spans="1:6" ht="16.5">
      <c r="A8" s="186" t="s">
        <v>173</v>
      </c>
      <c r="B8" s="23">
        <v>6960</v>
      </c>
      <c r="C8" s="23">
        <v>0</v>
      </c>
      <c r="D8" s="24">
        <v>6960</v>
      </c>
      <c r="E8" s="28">
        <f aca="true" t="shared" si="0" ref="E8:E15">SUM(B8+C8-D8)</f>
        <v>0</v>
      </c>
      <c r="F8" s="163"/>
    </row>
    <row r="9" spans="1:6" ht="16.5">
      <c r="A9" s="72" t="s">
        <v>189</v>
      </c>
      <c r="B9" s="28">
        <v>6300</v>
      </c>
      <c r="C9" s="28">
        <v>0</v>
      </c>
      <c r="D9" s="29">
        <v>6300</v>
      </c>
      <c r="E9" s="28">
        <f t="shared" si="0"/>
        <v>0</v>
      </c>
      <c r="F9" s="167"/>
    </row>
    <row r="10" spans="1:6" ht="16.5">
      <c r="A10" s="72" t="s">
        <v>174</v>
      </c>
      <c r="B10" s="28">
        <v>296583.34</v>
      </c>
      <c r="C10" s="165">
        <v>0</v>
      </c>
      <c r="D10" s="166">
        <v>296583.34</v>
      </c>
      <c r="E10" s="28">
        <f t="shared" si="0"/>
        <v>0</v>
      </c>
      <c r="F10" s="167"/>
    </row>
    <row r="11" spans="1:6" ht="16.5">
      <c r="A11" s="72" t="s">
        <v>175</v>
      </c>
      <c r="B11" s="28">
        <v>3000</v>
      </c>
      <c r="C11" s="28">
        <v>0</v>
      </c>
      <c r="D11" s="29">
        <v>3000</v>
      </c>
      <c r="E11" s="28">
        <f t="shared" si="0"/>
        <v>0</v>
      </c>
      <c r="F11" s="167"/>
    </row>
    <row r="12" spans="1:6" ht="16.5">
      <c r="A12" s="72" t="s">
        <v>190</v>
      </c>
      <c r="B12" s="28">
        <v>9060</v>
      </c>
      <c r="C12" s="164">
        <v>0</v>
      </c>
      <c r="D12" s="29">
        <v>9060</v>
      </c>
      <c r="E12" s="28">
        <f t="shared" si="0"/>
        <v>0</v>
      </c>
      <c r="F12" s="167"/>
    </row>
    <row r="13" spans="1:6" ht="16.5">
      <c r="A13" s="72" t="s">
        <v>176</v>
      </c>
      <c r="B13" s="28">
        <v>14900</v>
      </c>
      <c r="C13" s="164">
        <v>0</v>
      </c>
      <c r="D13" s="29">
        <v>14900</v>
      </c>
      <c r="E13" s="28">
        <f t="shared" si="0"/>
        <v>0</v>
      </c>
      <c r="F13" s="167"/>
    </row>
    <row r="14" spans="1:6" ht="16.5">
      <c r="A14" s="72" t="s">
        <v>191</v>
      </c>
      <c r="B14" s="28">
        <v>1000000</v>
      </c>
      <c r="C14" s="164">
        <v>0</v>
      </c>
      <c r="D14" s="29">
        <v>1000000</v>
      </c>
      <c r="E14" s="28">
        <f t="shared" si="0"/>
        <v>0</v>
      </c>
      <c r="F14" s="167"/>
    </row>
    <row r="15" spans="1:6" ht="16.5">
      <c r="A15" s="153" t="s">
        <v>192</v>
      </c>
      <c r="B15" s="28">
        <v>150000</v>
      </c>
      <c r="C15" s="164">
        <v>0</v>
      </c>
      <c r="D15" s="29">
        <v>0</v>
      </c>
      <c r="E15" s="28">
        <f t="shared" si="0"/>
        <v>150000</v>
      </c>
      <c r="F15" s="167"/>
    </row>
    <row r="16" spans="1:6" ht="16.5">
      <c r="A16" s="72" t="s">
        <v>193</v>
      </c>
      <c r="B16" s="28">
        <v>169340</v>
      </c>
      <c r="C16" s="164">
        <v>0</v>
      </c>
      <c r="D16" s="29">
        <v>169340</v>
      </c>
      <c r="E16" s="28">
        <f aca="true" t="shared" si="1" ref="E16:E25">SUM(B16+C16-D16)</f>
        <v>0</v>
      </c>
      <c r="F16" s="167"/>
    </row>
    <row r="17" spans="1:7" ht="16.5">
      <c r="A17" s="72" t="s">
        <v>194</v>
      </c>
      <c r="B17" s="28">
        <v>102560</v>
      </c>
      <c r="C17" s="164">
        <v>0</v>
      </c>
      <c r="D17" s="29">
        <v>0</v>
      </c>
      <c r="E17" s="28">
        <f t="shared" si="1"/>
        <v>102560</v>
      </c>
      <c r="F17" s="167"/>
      <c r="G17" s="34"/>
    </row>
    <row r="18" spans="1:6" ht="16.5">
      <c r="A18" s="72" t="s">
        <v>195</v>
      </c>
      <c r="B18" s="28">
        <v>179820</v>
      </c>
      <c r="C18" s="164">
        <v>0</v>
      </c>
      <c r="D18" s="29">
        <v>0</v>
      </c>
      <c r="E18" s="28">
        <f t="shared" si="1"/>
        <v>179820</v>
      </c>
      <c r="F18" s="167"/>
    </row>
    <row r="19" spans="1:6" ht="16.5">
      <c r="A19" s="72" t="s">
        <v>196</v>
      </c>
      <c r="B19" s="28">
        <v>170280</v>
      </c>
      <c r="C19" s="164">
        <v>0</v>
      </c>
      <c r="D19" s="29">
        <v>0</v>
      </c>
      <c r="E19" s="28">
        <f t="shared" si="1"/>
        <v>170280</v>
      </c>
      <c r="F19" s="167"/>
    </row>
    <row r="20" spans="1:6" ht="14.25" customHeight="1">
      <c r="A20" s="72" t="s">
        <v>197</v>
      </c>
      <c r="B20" s="28">
        <v>166120</v>
      </c>
      <c r="C20" s="164">
        <v>0</v>
      </c>
      <c r="D20" s="29">
        <v>0</v>
      </c>
      <c r="E20" s="28">
        <f t="shared" si="1"/>
        <v>166120</v>
      </c>
      <c r="F20" s="167"/>
    </row>
    <row r="21" spans="1:6" ht="16.5">
      <c r="A21" s="72" t="s">
        <v>198</v>
      </c>
      <c r="B21" s="28">
        <v>185030</v>
      </c>
      <c r="C21" s="164">
        <v>0</v>
      </c>
      <c r="D21" s="29">
        <v>0</v>
      </c>
      <c r="E21" s="28">
        <f t="shared" si="1"/>
        <v>185030</v>
      </c>
      <c r="F21" s="167"/>
    </row>
    <row r="22" spans="1:6" ht="16.5">
      <c r="A22" s="72" t="s">
        <v>199</v>
      </c>
      <c r="B22" s="28">
        <v>171590</v>
      </c>
      <c r="C22" s="164">
        <v>0</v>
      </c>
      <c r="D22" s="29">
        <v>0</v>
      </c>
      <c r="E22" s="28">
        <f t="shared" si="1"/>
        <v>171590</v>
      </c>
      <c r="F22" s="167"/>
    </row>
    <row r="23" spans="1:6" ht="16.5">
      <c r="A23" s="72" t="s">
        <v>200</v>
      </c>
      <c r="B23" s="28">
        <v>169260</v>
      </c>
      <c r="C23" s="164">
        <v>0</v>
      </c>
      <c r="D23" s="29">
        <v>0</v>
      </c>
      <c r="E23" s="28">
        <f t="shared" si="1"/>
        <v>169260</v>
      </c>
      <c r="F23" s="167"/>
    </row>
    <row r="24" spans="1:6" ht="16.5">
      <c r="A24" s="72" t="s">
        <v>201</v>
      </c>
      <c r="B24" s="28">
        <v>0</v>
      </c>
      <c r="C24" s="164">
        <v>114560</v>
      </c>
      <c r="D24" s="29">
        <v>0</v>
      </c>
      <c r="E24" s="28">
        <f t="shared" si="1"/>
        <v>114560</v>
      </c>
      <c r="F24" s="167"/>
    </row>
    <row r="25" spans="1:7" ht="16.5">
      <c r="A25" s="72" t="s">
        <v>202</v>
      </c>
      <c r="B25" s="33">
        <v>96500</v>
      </c>
      <c r="C25" s="164">
        <v>0</v>
      </c>
      <c r="D25" s="29">
        <v>0</v>
      </c>
      <c r="E25" s="28">
        <f t="shared" si="1"/>
        <v>96500</v>
      </c>
      <c r="F25" s="167"/>
      <c r="G25" s="34"/>
    </row>
    <row r="26" spans="1:6" ht="18" customHeight="1" thickBot="1">
      <c r="A26" s="183" t="s">
        <v>82</v>
      </c>
      <c r="B26" s="37">
        <f>SUM(B8:B25)</f>
        <v>2897303.34</v>
      </c>
      <c r="C26" s="37">
        <f>SUM(C8:C25)</f>
        <v>114560</v>
      </c>
      <c r="D26" s="37">
        <f>SUM(D8:D25)</f>
        <v>1506143.34</v>
      </c>
      <c r="E26" s="168">
        <f>SUM(E8:E25)</f>
        <v>1505720</v>
      </c>
      <c r="F26" s="169"/>
    </row>
    <row r="27" ht="17.25" thickTop="1"/>
  </sheetData>
  <sheetProtection/>
  <mergeCells count="9">
    <mergeCell ref="A1:F1"/>
    <mergeCell ref="A2:F2"/>
    <mergeCell ref="A3:F3"/>
    <mergeCell ref="A4:F4"/>
    <mergeCell ref="A6:A7"/>
    <mergeCell ref="B6:C6"/>
    <mergeCell ref="D6:D7"/>
    <mergeCell ref="E6:E7"/>
    <mergeCell ref="F6:F7"/>
  </mergeCells>
  <printOptions/>
  <pageMargins left="0.31496062992125984" right="0.31496062992125984" top="0.7480314960629921" bottom="0.5511811023622047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I12" sqref="I12:I13"/>
    </sheetView>
  </sheetViews>
  <sheetFormatPr defaultColWidth="9.140625" defaultRowHeight="12.75"/>
  <cols>
    <col min="1" max="1" width="44.00390625" style="7" customWidth="1"/>
    <col min="2" max="2" width="11.7109375" style="7" customWidth="1"/>
    <col min="3" max="3" width="11.00390625" style="7" customWidth="1"/>
    <col min="4" max="4" width="11.28125" style="7" customWidth="1"/>
    <col min="5" max="5" width="10.421875" style="7" customWidth="1"/>
    <col min="6" max="6" width="9.28125" style="7" customWidth="1"/>
    <col min="7" max="16384" width="9.140625" style="7" customWidth="1"/>
  </cols>
  <sheetData>
    <row r="1" spans="1:6" ht="18">
      <c r="A1" s="225" t="s">
        <v>60</v>
      </c>
      <c r="B1" s="225"/>
      <c r="C1" s="225"/>
      <c r="D1" s="225"/>
      <c r="E1" s="225"/>
      <c r="F1" s="225"/>
    </row>
    <row r="2" spans="1:6" ht="18">
      <c r="A2" s="240" t="s">
        <v>109</v>
      </c>
      <c r="B2" s="240"/>
      <c r="C2" s="240"/>
      <c r="D2" s="240"/>
      <c r="E2" s="240"/>
      <c r="F2" s="240"/>
    </row>
    <row r="3" spans="1:6" ht="18">
      <c r="A3" s="13"/>
      <c r="B3" s="13"/>
      <c r="C3" s="13"/>
      <c r="D3" s="13"/>
      <c r="E3" s="13"/>
      <c r="F3" s="13"/>
    </row>
    <row r="4" spans="1:6" ht="18">
      <c r="A4" s="162" t="s">
        <v>292</v>
      </c>
      <c r="B4" s="13"/>
      <c r="C4" s="13"/>
      <c r="D4" s="13"/>
      <c r="E4" s="13"/>
      <c r="F4" s="13"/>
    </row>
    <row r="5" spans="1:6" ht="18">
      <c r="A5" s="225"/>
      <c r="B5" s="225"/>
      <c r="C5" s="225"/>
      <c r="D5" s="225"/>
      <c r="E5" s="225"/>
      <c r="F5" s="225"/>
    </row>
    <row r="6" spans="1:6" ht="18">
      <c r="A6" s="241" t="s">
        <v>40</v>
      </c>
      <c r="B6" s="243" t="s">
        <v>83</v>
      </c>
      <c r="C6" s="244"/>
      <c r="D6" s="241" t="s">
        <v>170</v>
      </c>
      <c r="E6" s="241" t="s">
        <v>3</v>
      </c>
      <c r="F6" s="241" t="s">
        <v>84</v>
      </c>
    </row>
    <row r="7" spans="1:6" ht="18">
      <c r="A7" s="242"/>
      <c r="B7" s="74" t="s">
        <v>171</v>
      </c>
      <c r="C7" s="74" t="s">
        <v>172</v>
      </c>
      <c r="D7" s="242"/>
      <c r="E7" s="242"/>
      <c r="F7" s="242"/>
    </row>
    <row r="8" spans="1:6" ht="18">
      <c r="A8" s="170" t="s">
        <v>177</v>
      </c>
      <c r="B8" s="38">
        <v>286500</v>
      </c>
      <c r="C8" s="78">
        <v>0</v>
      </c>
      <c r="D8" s="38">
        <v>0</v>
      </c>
      <c r="E8" s="78">
        <f aca="true" t="shared" si="0" ref="E8:E17">SUM(B8+C8-D8)</f>
        <v>286500</v>
      </c>
      <c r="F8" s="171"/>
    </row>
    <row r="9" spans="1:6" ht="18">
      <c r="A9" s="170" t="s">
        <v>178</v>
      </c>
      <c r="B9" s="38">
        <v>20370</v>
      </c>
      <c r="C9" s="78">
        <v>0</v>
      </c>
      <c r="D9" s="38">
        <v>0</v>
      </c>
      <c r="E9" s="78">
        <f>SUM(B9:D9)</f>
        <v>20370</v>
      </c>
      <c r="F9" s="171"/>
    </row>
    <row r="10" spans="1:6" ht="18">
      <c r="A10" s="170" t="s">
        <v>179</v>
      </c>
      <c r="B10" s="38">
        <v>215520</v>
      </c>
      <c r="C10" s="78">
        <v>0</v>
      </c>
      <c r="D10" s="38">
        <v>0</v>
      </c>
      <c r="E10" s="78">
        <f t="shared" si="0"/>
        <v>215520</v>
      </c>
      <c r="F10" s="171"/>
    </row>
    <row r="11" spans="1:6" ht="18">
      <c r="A11" s="170" t="s">
        <v>180</v>
      </c>
      <c r="B11" s="38">
        <v>19590</v>
      </c>
      <c r="C11" s="78">
        <v>0</v>
      </c>
      <c r="D11" s="38">
        <v>0</v>
      </c>
      <c r="E11" s="78">
        <f t="shared" si="0"/>
        <v>19590</v>
      </c>
      <c r="F11" s="171"/>
    </row>
    <row r="12" spans="1:6" ht="18">
      <c r="A12" s="170" t="s">
        <v>181</v>
      </c>
      <c r="B12" s="38">
        <v>95700</v>
      </c>
      <c r="C12" s="78">
        <v>0</v>
      </c>
      <c r="D12" s="38">
        <v>0</v>
      </c>
      <c r="E12" s="78">
        <f t="shared" si="0"/>
        <v>95700</v>
      </c>
      <c r="F12" s="171"/>
    </row>
    <row r="13" spans="1:6" ht="18">
      <c r="A13" s="170" t="s">
        <v>182</v>
      </c>
      <c r="B13" s="38">
        <v>76730</v>
      </c>
      <c r="C13" s="78">
        <v>0</v>
      </c>
      <c r="D13" s="38">
        <v>0</v>
      </c>
      <c r="E13" s="78">
        <f t="shared" si="0"/>
        <v>76730</v>
      </c>
      <c r="F13" s="171"/>
    </row>
    <row r="14" spans="1:6" ht="18">
      <c r="A14" s="170" t="s">
        <v>183</v>
      </c>
      <c r="B14" s="38">
        <v>47010</v>
      </c>
      <c r="C14" s="78">
        <v>0</v>
      </c>
      <c r="D14" s="38">
        <v>0</v>
      </c>
      <c r="E14" s="78">
        <f t="shared" si="0"/>
        <v>47010</v>
      </c>
      <c r="F14" s="171"/>
    </row>
    <row r="15" spans="1:6" ht="18">
      <c r="A15" s="170" t="s">
        <v>184</v>
      </c>
      <c r="B15" s="38">
        <v>38720</v>
      </c>
      <c r="C15" s="78">
        <v>0</v>
      </c>
      <c r="D15" s="38">
        <v>0</v>
      </c>
      <c r="E15" s="78">
        <f t="shared" si="0"/>
        <v>38720</v>
      </c>
      <c r="F15" s="171"/>
    </row>
    <row r="16" spans="1:6" ht="18">
      <c r="A16" s="170" t="s">
        <v>185</v>
      </c>
      <c r="B16" s="38">
        <v>20590</v>
      </c>
      <c r="C16" s="78">
        <v>0</v>
      </c>
      <c r="D16" s="38">
        <v>0</v>
      </c>
      <c r="E16" s="78">
        <f t="shared" si="0"/>
        <v>20590</v>
      </c>
      <c r="F16" s="171"/>
    </row>
    <row r="17" spans="1:6" ht="18">
      <c r="A17" s="172" t="s">
        <v>186</v>
      </c>
      <c r="B17" s="148">
        <v>46980</v>
      </c>
      <c r="C17" s="79">
        <v>0</v>
      </c>
      <c r="D17" s="148">
        <v>0</v>
      </c>
      <c r="E17" s="79">
        <f t="shared" si="0"/>
        <v>46980</v>
      </c>
      <c r="F17" s="173"/>
    </row>
    <row r="18" spans="1:6" ht="18.75" thickBot="1">
      <c r="A18" s="174" t="s">
        <v>82</v>
      </c>
      <c r="B18" s="175">
        <f>SUM(B8:B17)</f>
        <v>867710</v>
      </c>
      <c r="C18" s="175">
        <f>SUM(C8:C17)</f>
        <v>0</v>
      </c>
      <c r="D18" s="175">
        <f>SUM(D8:D17)</f>
        <v>0</v>
      </c>
      <c r="E18" s="161">
        <f>SUM(E8:E17)</f>
        <v>867710</v>
      </c>
      <c r="F18" s="176"/>
    </row>
    <row r="19" spans="2:4" ht="18.75" thickTop="1">
      <c r="B19" s="160"/>
      <c r="C19" s="160"/>
      <c r="D19" s="160"/>
    </row>
    <row r="20" spans="2:4" ht="18">
      <c r="B20" s="160"/>
      <c r="C20" s="160"/>
      <c r="D20" s="160"/>
    </row>
  </sheetData>
  <sheetProtection/>
  <mergeCells count="8">
    <mergeCell ref="A1:F1"/>
    <mergeCell ref="A2:F2"/>
    <mergeCell ref="A5:F5"/>
    <mergeCell ref="A6:A7"/>
    <mergeCell ref="B6:C6"/>
    <mergeCell ref="D6:D7"/>
    <mergeCell ref="E6:E7"/>
    <mergeCell ref="F6:F7"/>
  </mergeCells>
  <printOptions/>
  <pageMargins left="0.5118110236220472" right="0.11811023622047245" top="0.4330708661417323" bottom="0.4330708661417323" header="0.31496062992125984" footer="0.1574803149606299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E1" sqref="E1:E65536"/>
    </sheetView>
  </sheetViews>
  <sheetFormatPr defaultColWidth="18.421875" defaultRowHeight="12.75"/>
  <cols>
    <col min="1" max="1" width="21.00390625" style="1" customWidth="1"/>
    <col min="2" max="2" width="24.7109375" style="1" customWidth="1"/>
    <col min="3" max="3" width="23.421875" style="1" customWidth="1"/>
    <col min="4" max="4" width="23.28125" style="1" customWidth="1"/>
    <col min="5" max="16384" width="18.421875" style="1" customWidth="1"/>
  </cols>
  <sheetData>
    <row r="1" spans="1:5" ht="23.25">
      <c r="A1" s="218"/>
      <c r="B1" s="218"/>
      <c r="C1" s="218"/>
      <c r="D1" s="218"/>
      <c r="E1" s="44"/>
    </row>
    <row r="2" spans="1:4" ht="23.25">
      <c r="A2" s="40" t="s">
        <v>87</v>
      </c>
      <c r="B2" s="41"/>
      <c r="C2" s="41"/>
      <c r="D2" s="42"/>
    </row>
    <row r="3" spans="1:4" ht="23.25">
      <c r="A3" s="43"/>
      <c r="B3" s="44"/>
      <c r="C3" s="44" t="s">
        <v>158</v>
      </c>
      <c r="D3" s="45"/>
    </row>
    <row r="4" spans="1:4" ht="31.5">
      <c r="A4" s="46" t="s">
        <v>88</v>
      </c>
      <c r="B4" s="47"/>
      <c r="C4" s="47"/>
      <c r="D4" s="48"/>
    </row>
    <row r="5" spans="1:4" ht="23.25">
      <c r="A5" s="43"/>
      <c r="B5" s="44"/>
      <c r="C5" s="44" t="s">
        <v>203</v>
      </c>
      <c r="D5" s="45"/>
    </row>
    <row r="6" spans="1:4" ht="23.25">
      <c r="A6" s="43" t="s">
        <v>283</v>
      </c>
      <c r="B6" s="44"/>
      <c r="C6" s="44"/>
      <c r="D6" s="49">
        <v>7480966.32</v>
      </c>
    </row>
    <row r="7" spans="1:4" ht="23.25">
      <c r="A7" s="43" t="s">
        <v>89</v>
      </c>
      <c r="B7" s="44"/>
      <c r="C7" s="44"/>
      <c r="D7" s="50"/>
    </row>
    <row r="8" spans="1:4" ht="23.25">
      <c r="A8" s="51" t="s">
        <v>90</v>
      </c>
      <c r="B8" s="52" t="s">
        <v>91</v>
      </c>
      <c r="C8" s="52" t="s">
        <v>83</v>
      </c>
      <c r="D8" s="50"/>
    </row>
    <row r="9" spans="1:4" ht="23.25">
      <c r="A9" s="56"/>
      <c r="B9" s="149"/>
      <c r="C9" s="44"/>
      <c r="D9" s="50"/>
    </row>
    <row r="10" spans="1:4" ht="23.25">
      <c r="A10" s="53"/>
      <c r="B10" s="54"/>
      <c r="C10" s="54"/>
      <c r="D10" s="55"/>
    </row>
    <row r="11" spans="1:4" ht="23.25">
      <c r="A11" s="43" t="s">
        <v>92</v>
      </c>
      <c r="B11" s="44"/>
      <c r="C11" s="44"/>
      <c r="D11" s="50"/>
    </row>
    <row r="12" spans="1:4" ht="23.25">
      <c r="A12" s="51" t="s">
        <v>93</v>
      </c>
      <c r="B12" s="52" t="s">
        <v>94</v>
      </c>
      <c r="C12" s="52" t="s">
        <v>83</v>
      </c>
      <c r="D12" s="50"/>
    </row>
    <row r="13" spans="1:4" ht="23.25">
      <c r="A13" s="152" t="s">
        <v>293</v>
      </c>
      <c r="B13" s="93" t="s">
        <v>294</v>
      </c>
      <c r="C13" s="151">
        <v>15000</v>
      </c>
      <c r="D13" s="90">
        <f aca="true" t="shared" si="0" ref="D13:D18">SUM(C13)</f>
        <v>15000</v>
      </c>
    </row>
    <row r="14" spans="1:4" ht="23.25">
      <c r="A14" s="152" t="s">
        <v>293</v>
      </c>
      <c r="B14" s="94" t="s">
        <v>295</v>
      </c>
      <c r="C14" s="57">
        <v>15000</v>
      </c>
      <c r="D14" s="90">
        <f t="shared" si="0"/>
        <v>15000</v>
      </c>
    </row>
    <row r="15" spans="1:4" ht="23.25">
      <c r="A15" s="152"/>
      <c r="B15" s="93"/>
      <c r="C15" s="60"/>
      <c r="D15" s="55">
        <f t="shared" si="0"/>
        <v>0</v>
      </c>
    </row>
    <row r="16" spans="1:4" ht="23.25">
      <c r="A16" s="152"/>
      <c r="B16" s="150"/>
      <c r="C16" s="60"/>
      <c r="D16" s="50">
        <f t="shared" si="0"/>
        <v>0</v>
      </c>
    </row>
    <row r="17" spans="1:4" ht="23.25">
      <c r="A17" s="152"/>
      <c r="B17" s="94"/>
      <c r="C17" s="60"/>
      <c r="D17" s="55">
        <f t="shared" si="0"/>
        <v>0</v>
      </c>
    </row>
    <row r="18" spans="1:4" ht="23.25">
      <c r="A18" s="152"/>
      <c r="B18" s="93"/>
      <c r="C18" s="60"/>
      <c r="D18" s="55">
        <f t="shared" si="0"/>
        <v>0</v>
      </c>
    </row>
    <row r="19" spans="1:4" ht="23.25">
      <c r="A19" s="58" t="s">
        <v>95</v>
      </c>
      <c r="B19" s="59"/>
      <c r="C19" s="60"/>
      <c r="D19" s="55"/>
    </row>
    <row r="20" spans="1:4" ht="23.25">
      <c r="A20" s="43" t="s">
        <v>96</v>
      </c>
      <c r="B20" s="44"/>
      <c r="C20" s="44"/>
      <c r="D20" s="50"/>
    </row>
    <row r="21" spans="1:4" ht="23.25">
      <c r="A21" s="43" t="s">
        <v>204</v>
      </c>
      <c r="B21" s="44"/>
      <c r="C21" s="44"/>
      <c r="D21" s="50"/>
    </row>
    <row r="22" spans="1:4" ht="23.25">
      <c r="A22" s="51" t="s">
        <v>93</v>
      </c>
      <c r="B22" s="52" t="s">
        <v>94</v>
      </c>
      <c r="C22" s="52" t="s">
        <v>83</v>
      </c>
      <c r="D22" s="50"/>
    </row>
    <row r="23" spans="1:4" ht="23.25">
      <c r="A23" s="56"/>
      <c r="B23" s="218"/>
      <c r="C23" s="57"/>
      <c r="D23" s="90">
        <f>SUM(C23)</f>
        <v>0</v>
      </c>
    </row>
    <row r="24" spans="1:5" ht="23.25">
      <c r="A24" s="63"/>
      <c r="B24" s="59"/>
      <c r="C24" s="64"/>
      <c r="D24" s="55"/>
      <c r="E24" s="69"/>
    </row>
    <row r="25" spans="1:4" ht="23.25">
      <c r="A25" s="65" t="s">
        <v>284</v>
      </c>
      <c r="B25" s="66"/>
      <c r="C25" s="44"/>
      <c r="D25" s="50">
        <f>SUM(D6-D13-D14)</f>
        <v>7450966.32</v>
      </c>
    </row>
    <row r="26" spans="1:4" ht="23.25">
      <c r="A26" s="43" t="s">
        <v>97</v>
      </c>
      <c r="B26" s="44"/>
      <c r="C26" s="67" t="s">
        <v>98</v>
      </c>
      <c r="D26" s="42"/>
    </row>
    <row r="27" spans="1:4" ht="23.25">
      <c r="A27" s="43"/>
      <c r="B27" s="44"/>
      <c r="C27" s="43"/>
      <c r="D27" s="45"/>
    </row>
    <row r="28" spans="1:5" ht="23.25">
      <c r="A28" s="43" t="s">
        <v>99</v>
      </c>
      <c r="B28" s="44" t="s">
        <v>285</v>
      </c>
      <c r="C28" s="43" t="s">
        <v>100</v>
      </c>
      <c r="D28" s="44" t="s">
        <v>285</v>
      </c>
      <c r="E28" s="43"/>
    </row>
    <row r="29" spans="1:4" ht="23.25">
      <c r="A29" s="245" t="s">
        <v>208</v>
      </c>
      <c r="B29" s="246"/>
      <c r="C29" s="245" t="s">
        <v>205</v>
      </c>
      <c r="D29" s="246"/>
    </row>
    <row r="30" spans="1:4" ht="23.25">
      <c r="A30" s="218"/>
      <c r="B30" s="218"/>
      <c r="C30" s="218"/>
      <c r="D30" s="218"/>
    </row>
    <row r="32" spans="1:4" ht="23.25">
      <c r="A32" s="40" t="s">
        <v>87</v>
      </c>
      <c r="B32" s="41"/>
      <c r="C32" s="41"/>
      <c r="D32" s="42"/>
    </row>
    <row r="33" spans="1:4" ht="23.25">
      <c r="A33" s="43"/>
      <c r="B33" s="44"/>
      <c r="C33" s="44" t="s">
        <v>158</v>
      </c>
      <c r="D33" s="45"/>
    </row>
    <row r="34" spans="1:4" s="68" customFormat="1" ht="31.5">
      <c r="A34" s="46" t="s">
        <v>88</v>
      </c>
      <c r="B34" s="47"/>
      <c r="C34" s="47"/>
      <c r="D34" s="48"/>
    </row>
    <row r="35" spans="1:4" ht="23.25">
      <c r="A35" s="43"/>
      <c r="B35" s="44"/>
      <c r="C35" s="44" t="s">
        <v>206</v>
      </c>
      <c r="D35" s="45"/>
    </row>
    <row r="36" spans="1:5" ht="23.25">
      <c r="A36" s="43" t="s">
        <v>283</v>
      </c>
      <c r="B36" s="44"/>
      <c r="C36" s="44"/>
      <c r="D36" s="49">
        <v>245343.48</v>
      </c>
      <c r="E36" s="217"/>
    </row>
    <row r="37" spans="1:4" ht="23.25">
      <c r="A37" s="43" t="s">
        <v>89</v>
      </c>
      <c r="B37" s="44"/>
      <c r="C37" s="44"/>
      <c r="D37" s="50"/>
    </row>
    <row r="38" spans="1:4" ht="23.25">
      <c r="A38" s="51" t="s">
        <v>90</v>
      </c>
      <c r="B38" s="52" t="s">
        <v>91</v>
      </c>
      <c r="C38" s="52" t="s">
        <v>83</v>
      </c>
      <c r="D38" s="50"/>
    </row>
    <row r="39" spans="1:5" ht="23.25">
      <c r="A39" s="56"/>
      <c r="B39" s="149"/>
      <c r="C39" s="44"/>
      <c r="D39" s="50"/>
      <c r="E39" s="44"/>
    </row>
    <row r="40" spans="1:5" ht="23.25">
      <c r="A40" s="53"/>
      <c r="B40" s="54"/>
      <c r="C40" s="54"/>
      <c r="D40" s="55"/>
      <c r="E40" s="44"/>
    </row>
    <row r="41" spans="1:4" ht="23.25">
      <c r="A41" s="43" t="s">
        <v>92</v>
      </c>
      <c r="B41" s="44"/>
      <c r="C41" s="44"/>
      <c r="D41" s="50"/>
    </row>
    <row r="42" spans="1:4" ht="23.25">
      <c r="A42" s="51" t="s">
        <v>93</v>
      </c>
      <c r="B42" s="52" t="s">
        <v>94</v>
      </c>
      <c r="C42" s="52" t="s">
        <v>83</v>
      </c>
      <c r="D42" s="50"/>
    </row>
    <row r="43" spans="1:4" ht="23.25">
      <c r="A43" s="152" t="s">
        <v>296</v>
      </c>
      <c r="B43" s="93">
        <v>2688850</v>
      </c>
      <c r="C43" s="151">
        <v>33000</v>
      </c>
      <c r="D43" s="90">
        <f>SUM(C43)</f>
        <v>33000</v>
      </c>
    </row>
    <row r="44" spans="1:4" ht="23.25">
      <c r="A44" s="152"/>
      <c r="B44" s="94"/>
      <c r="C44" s="57"/>
      <c r="D44" s="90">
        <f>SUM(C44)</f>
        <v>0</v>
      </c>
    </row>
    <row r="45" spans="1:4" ht="23.25">
      <c r="A45" s="152"/>
      <c r="B45" s="93"/>
      <c r="C45" s="60"/>
      <c r="D45" s="55">
        <f>SUM(C45)</f>
        <v>0</v>
      </c>
    </row>
    <row r="46" spans="1:4" ht="23.25">
      <c r="A46" s="152"/>
      <c r="B46" s="150"/>
      <c r="C46" s="60"/>
      <c r="D46" s="55">
        <f>SUM(C46)</f>
        <v>0</v>
      </c>
    </row>
    <row r="47" spans="1:4" ht="23.25">
      <c r="A47" s="152"/>
      <c r="B47" s="94"/>
      <c r="C47" s="60"/>
      <c r="D47" s="55">
        <f>SUM(C47)</f>
        <v>0</v>
      </c>
    </row>
    <row r="48" spans="1:5" ht="23.25">
      <c r="A48" s="152"/>
      <c r="B48" s="93"/>
      <c r="C48" s="60"/>
      <c r="D48" s="55">
        <f>SUM(C48)</f>
        <v>0</v>
      </c>
      <c r="E48" s="69"/>
    </row>
    <row r="49" spans="1:5" ht="23.25">
      <c r="A49" s="58" t="s">
        <v>95</v>
      </c>
      <c r="B49" s="59"/>
      <c r="C49" s="60"/>
      <c r="D49" s="55"/>
      <c r="E49" s="44"/>
    </row>
    <row r="50" spans="1:5" ht="23.25">
      <c r="A50" s="43" t="s">
        <v>96</v>
      </c>
      <c r="B50" s="44"/>
      <c r="C50" s="44"/>
      <c r="D50" s="50"/>
      <c r="E50" s="44"/>
    </row>
    <row r="51" spans="1:5" ht="23.25">
      <c r="A51" s="43" t="s">
        <v>207</v>
      </c>
      <c r="B51" s="44"/>
      <c r="C51" s="44"/>
      <c r="D51" s="50">
        <v>0</v>
      </c>
      <c r="E51" s="44"/>
    </row>
    <row r="52" spans="1:5" ht="23.25">
      <c r="A52" s="61"/>
      <c r="B52" s="62"/>
      <c r="C52" s="62"/>
      <c r="D52" s="55"/>
      <c r="E52" s="44"/>
    </row>
    <row r="53" spans="1:5" ht="23.25">
      <c r="A53" s="99"/>
      <c r="B53" s="218"/>
      <c r="C53" s="57"/>
      <c r="D53" s="50">
        <f>SUM(C53)</f>
        <v>0</v>
      </c>
      <c r="E53" s="44"/>
    </row>
    <row r="54" spans="1:5" ht="23.25">
      <c r="A54" s="63"/>
      <c r="B54" s="59"/>
      <c r="C54" s="64"/>
      <c r="D54" s="55"/>
      <c r="E54" s="44"/>
    </row>
    <row r="55" spans="1:5" ht="23.25">
      <c r="A55" s="65" t="s">
        <v>286</v>
      </c>
      <c r="B55" s="66"/>
      <c r="C55" s="44"/>
      <c r="D55" s="50">
        <f>SUM(D36-D43-D44-D45-D46-D47-D48-D51)</f>
        <v>212343.48</v>
      </c>
      <c r="E55" s="158"/>
    </row>
    <row r="56" spans="1:5" ht="23.25">
      <c r="A56" s="43" t="s">
        <v>97</v>
      </c>
      <c r="B56" s="44"/>
      <c r="C56" s="67" t="s">
        <v>98</v>
      </c>
      <c r="D56" s="42"/>
      <c r="E56" s="159"/>
    </row>
    <row r="57" spans="1:5" ht="23.25">
      <c r="A57" s="43"/>
      <c r="B57" s="44"/>
      <c r="C57" s="43"/>
      <c r="D57" s="45"/>
      <c r="E57" s="158"/>
    </row>
    <row r="58" spans="1:5" ht="23.25">
      <c r="A58" s="43" t="s">
        <v>99</v>
      </c>
      <c r="B58" s="44" t="s">
        <v>285</v>
      </c>
      <c r="C58" s="43" t="s">
        <v>100</v>
      </c>
      <c r="D58" s="45" t="s">
        <v>285</v>
      </c>
      <c r="E58" s="44"/>
    </row>
    <row r="59" spans="1:5" ht="23.25">
      <c r="A59" s="245" t="s">
        <v>208</v>
      </c>
      <c r="B59" s="246"/>
      <c r="C59" s="245" t="s">
        <v>205</v>
      </c>
      <c r="D59" s="246"/>
      <c r="E59" s="44"/>
    </row>
    <row r="62" spans="1:4" ht="23.25">
      <c r="A62" s="40" t="s">
        <v>87</v>
      </c>
      <c r="B62" s="41"/>
      <c r="C62" s="41"/>
      <c r="D62" s="42"/>
    </row>
    <row r="63" spans="1:4" ht="23.25">
      <c r="A63" s="43"/>
      <c r="B63" s="44"/>
      <c r="C63" s="44" t="s">
        <v>156</v>
      </c>
      <c r="D63" s="45"/>
    </row>
    <row r="64" spans="1:4" s="68" customFormat="1" ht="31.5">
      <c r="A64" s="46" t="s">
        <v>88</v>
      </c>
      <c r="B64" s="47"/>
      <c r="C64" s="47"/>
      <c r="D64" s="48"/>
    </row>
    <row r="65" spans="1:4" ht="23.25">
      <c r="A65" s="43"/>
      <c r="B65" s="44"/>
      <c r="C65" s="44" t="s">
        <v>166</v>
      </c>
      <c r="D65" s="45"/>
    </row>
    <row r="66" spans="1:5" ht="23.25">
      <c r="A66" s="43" t="s">
        <v>283</v>
      </c>
      <c r="B66" s="44"/>
      <c r="C66" s="44"/>
      <c r="D66" s="49">
        <v>17847864.34</v>
      </c>
      <c r="E66" s="217"/>
    </row>
    <row r="67" spans="1:4" ht="23.25">
      <c r="A67" s="43" t="s">
        <v>89</v>
      </c>
      <c r="B67" s="44"/>
      <c r="C67" s="44"/>
      <c r="D67" s="50"/>
    </row>
    <row r="68" spans="1:4" ht="23.25">
      <c r="A68" s="51" t="s">
        <v>90</v>
      </c>
      <c r="B68" s="52" t="s">
        <v>91</v>
      </c>
      <c r="C68" s="52" t="s">
        <v>83</v>
      </c>
      <c r="D68" s="50"/>
    </row>
    <row r="69" spans="1:5" ht="23.25">
      <c r="A69" s="43"/>
      <c r="B69" s="44"/>
      <c r="C69" s="44"/>
      <c r="D69" s="50"/>
      <c r="E69" s="44"/>
    </row>
    <row r="70" spans="1:5" ht="23.25">
      <c r="A70" s="53"/>
      <c r="B70" s="54"/>
      <c r="C70" s="54"/>
      <c r="D70" s="55"/>
      <c r="E70" s="44"/>
    </row>
    <row r="71" spans="1:4" ht="23.25">
      <c r="A71" s="43" t="s">
        <v>92</v>
      </c>
      <c r="B71" s="44"/>
      <c r="C71" s="44"/>
      <c r="D71" s="50"/>
    </row>
    <row r="72" spans="1:4" ht="23.25">
      <c r="A72" s="51" t="s">
        <v>93</v>
      </c>
      <c r="B72" s="52" t="s">
        <v>94</v>
      </c>
      <c r="C72" s="52" t="s">
        <v>83</v>
      </c>
      <c r="D72" s="50"/>
    </row>
    <row r="73" spans="1:4" ht="23.25">
      <c r="A73" s="152" t="s">
        <v>297</v>
      </c>
      <c r="B73" s="154" t="s">
        <v>298</v>
      </c>
      <c r="C73" s="57">
        <v>85635</v>
      </c>
      <c r="D73" s="90">
        <f>SUM(C73)</f>
        <v>85635</v>
      </c>
    </row>
    <row r="74" spans="1:4" ht="23.25">
      <c r="A74" s="152"/>
      <c r="B74" s="154"/>
      <c r="C74" s="60"/>
      <c r="D74" s="55">
        <f>SUM(C74)</f>
        <v>0</v>
      </c>
    </row>
    <row r="75" spans="1:4" ht="23.25">
      <c r="A75" s="152"/>
      <c r="B75" s="154"/>
      <c r="C75" s="60"/>
      <c r="D75" s="50">
        <f>SUM(C75)</f>
        <v>0</v>
      </c>
    </row>
    <row r="76" spans="1:4" ht="23.25">
      <c r="A76" s="152"/>
      <c r="B76" s="154"/>
      <c r="C76" s="60"/>
      <c r="D76" s="50">
        <f>SUM(C76)</f>
        <v>0</v>
      </c>
    </row>
    <row r="77" spans="1:4" ht="23.25">
      <c r="A77" s="152"/>
      <c r="B77" s="154"/>
      <c r="C77" s="60"/>
      <c r="D77" s="55">
        <f>SUM(C77)</f>
        <v>0</v>
      </c>
    </row>
    <row r="78" spans="1:5" ht="23.25">
      <c r="A78" s="58"/>
      <c r="B78" s="59"/>
      <c r="C78" s="60"/>
      <c r="D78" s="50"/>
      <c r="E78" s="69"/>
    </row>
    <row r="79" spans="1:5" ht="23.25">
      <c r="A79" s="58" t="s">
        <v>95</v>
      </c>
      <c r="B79" s="59"/>
      <c r="C79" s="60"/>
      <c r="D79" s="55"/>
      <c r="E79" s="158"/>
    </row>
    <row r="80" spans="1:5" ht="23.25">
      <c r="A80" s="43" t="s">
        <v>96</v>
      </c>
      <c r="B80" s="44"/>
      <c r="C80" s="44"/>
      <c r="D80" s="50"/>
      <c r="E80" s="44"/>
    </row>
    <row r="81" spans="1:5" ht="23.25">
      <c r="A81" s="43" t="s">
        <v>277</v>
      </c>
      <c r="B81" s="44"/>
      <c r="C81" s="44"/>
      <c r="D81" s="50"/>
      <c r="E81" s="44"/>
    </row>
    <row r="82" spans="1:5" ht="23.25">
      <c r="A82" s="61"/>
      <c r="B82" s="62"/>
      <c r="C82" s="62"/>
      <c r="D82" s="55"/>
      <c r="E82" s="44"/>
    </row>
    <row r="83" spans="1:5" ht="23.25">
      <c r="A83" s="99"/>
      <c r="B83" s="219"/>
      <c r="C83" s="57"/>
      <c r="D83" s="50"/>
      <c r="E83" s="44"/>
    </row>
    <row r="84" spans="1:5" ht="23.25">
      <c r="A84" s="63"/>
      <c r="B84" s="59"/>
      <c r="C84" s="64"/>
      <c r="D84" s="55"/>
      <c r="E84" s="44"/>
    </row>
    <row r="85" spans="1:6" ht="23.25">
      <c r="A85" s="65" t="s">
        <v>287</v>
      </c>
      <c r="B85" s="66"/>
      <c r="C85" s="44"/>
      <c r="D85" s="50">
        <f>SUM(D66-D83-D73-D74-D75-D76-D77)</f>
        <v>17762229.34</v>
      </c>
      <c r="E85" s="158"/>
      <c r="F85" s="69"/>
    </row>
    <row r="86" spans="1:5" ht="23.25">
      <c r="A86" s="43" t="s">
        <v>97</v>
      </c>
      <c r="B86" s="44"/>
      <c r="C86" s="67" t="s">
        <v>98</v>
      </c>
      <c r="D86" s="42"/>
      <c r="E86" s="44"/>
    </row>
    <row r="87" spans="1:5" ht="23.25">
      <c r="A87" s="43"/>
      <c r="B87" s="44"/>
      <c r="C87" s="43"/>
      <c r="D87" s="45"/>
      <c r="E87" s="44"/>
    </row>
    <row r="88" spans="1:5" ht="23.25">
      <c r="A88" s="43" t="s">
        <v>99</v>
      </c>
      <c r="B88" s="44" t="s">
        <v>285</v>
      </c>
      <c r="C88" s="43" t="s">
        <v>100</v>
      </c>
      <c r="D88" s="45" t="s">
        <v>285</v>
      </c>
      <c r="E88" s="44"/>
    </row>
    <row r="89" spans="1:5" ht="23.25">
      <c r="A89" s="245" t="s">
        <v>208</v>
      </c>
      <c r="B89" s="246"/>
      <c r="C89" s="247" t="s">
        <v>187</v>
      </c>
      <c r="D89" s="248"/>
      <c r="E89" s="44"/>
    </row>
  </sheetData>
  <sheetProtection/>
  <mergeCells count="6">
    <mergeCell ref="A89:B89"/>
    <mergeCell ref="C89:D89"/>
    <mergeCell ref="A29:B29"/>
    <mergeCell ref="C29:D29"/>
    <mergeCell ref="A59:B59"/>
    <mergeCell ref="C59:D5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9"/>
  <sheetViews>
    <sheetView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14.421875" style="100" customWidth="1"/>
    <col min="2" max="2" width="15.7109375" style="100" customWidth="1"/>
    <col min="3" max="3" width="37.7109375" style="100" customWidth="1"/>
    <col min="4" max="4" width="12.28125" style="146" customWidth="1"/>
    <col min="5" max="5" width="18.7109375" style="100" customWidth="1"/>
    <col min="6" max="6" width="12.8515625" style="100" customWidth="1"/>
    <col min="7" max="7" width="13.8515625" style="100" customWidth="1"/>
    <col min="8" max="8" width="18.00390625" style="100" customWidth="1"/>
    <col min="9" max="9" width="19.421875" style="101" customWidth="1"/>
    <col min="10" max="10" width="18.8515625" style="100" customWidth="1"/>
    <col min="11" max="11" width="17.140625" style="100" customWidth="1"/>
    <col min="12" max="12" width="11.7109375" style="100" bestFit="1" customWidth="1"/>
    <col min="13" max="16384" width="9.140625" style="100" customWidth="1"/>
  </cols>
  <sheetData>
    <row r="1" spans="1:5" ht="18.75">
      <c r="A1" s="249" t="s">
        <v>8</v>
      </c>
      <c r="B1" s="249"/>
      <c r="C1" s="249"/>
      <c r="D1" s="249"/>
      <c r="E1" s="249"/>
    </row>
    <row r="2" spans="1:5" ht="18.75">
      <c r="A2" s="249" t="s">
        <v>9</v>
      </c>
      <c r="B2" s="249"/>
      <c r="C2" s="249"/>
      <c r="D2" s="249"/>
      <c r="E2" s="249"/>
    </row>
    <row r="3" spans="1:4" ht="18.75">
      <c r="A3" s="184"/>
      <c r="B3" s="184"/>
      <c r="C3" s="184"/>
      <c r="D3" s="185" t="s">
        <v>213</v>
      </c>
    </row>
    <row r="4" spans="1:5" ht="18.75">
      <c r="A4" s="250" t="s">
        <v>10</v>
      </c>
      <c r="B4" s="250"/>
      <c r="C4" s="250"/>
      <c r="D4" s="250"/>
      <c r="E4" s="250"/>
    </row>
    <row r="5" spans="1:5" ht="19.5" thickBot="1">
      <c r="A5" s="102"/>
      <c r="B5" s="102"/>
      <c r="C5" s="102"/>
      <c r="D5" s="222" t="s">
        <v>281</v>
      </c>
      <c r="E5" s="102"/>
    </row>
    <row r="6" spans="1:5" ht="19.5" thickTop="1">
      <c r="A6" s="251" t="s">
        <v>11</v>
      </c>
      <c r="B6" s="252"/>
      <c r="C6" s="103"/>
      <c r="D6" s="104"/>
      <c r="E6" s="105" t="s">
        <v>79</v>
      </c>
    </row>
    <row r="7" spans="1:5" ht="18.75">
      <c r="A7" s="106" t="s">
        <v>67</v>
      </c>
      <c r="B7" s="107" t="s">
        <v>12</v>
      </c>
      <c r="C7" s="108" t="s">
        <v>42</v>
      </c>
      <c r="D7" s="109" t="s">
        <v>13</v>
      </c>
      <c r="E7" s="110" t="s">
        <v>12</v>
      </c>
    </row>
    <row r="8" spans="1:5" ht="19.5" thickBot="1">
      <c r="A8" s="111" t="s">
        <v>14</v>
      </c>
      <c r="B8" s="112" t="s">
        <v>14</v>
      </c>
      <c r="C8" s="111"/>
      <c r="D8" s="113" t="s">
        <v>15</v>
      </c>
      <c r="E8" s="112" t="s">
        <v>14</v>
      </c>
    </row>
    <row r="9" spans="1:5" ht="19.5" thickTop="1">
      <c r="A9" s="103"/>
      <c r="B9" s="114">
        <v>30574547.38</v>
      </c>
      <c r="C9" s="115" t="s">
        <v>16</v>
      </c>
      <c r="D9" s="104"/>
      <c r="E9" s="116">
        <v>38156472.82</v>
      </c>
    </row>
    <row r="10" spans="1:11" ht="18.75">
      <c r="A10" s="108"/>
      <c r="B10" s="114"/>
      <c r="C10" s="117" t="s">
        <v>162</v>
      </c>
      <c r="D10" s="109"/>
      <c r="E10" s="118"/>
      <c r="I10" s="96"/>
      <c r="J10" s="95"/>
      <c r="K10" s="95"/>
    </row>
    <row r="11" spans="1:12" ht="18.75">
      <c r="A11" s="114">
        <v>68400</v>
      </c>
      <c r="B11" s="118">
        <v>42098.59</v>
      </c>
      <c r="C11" s="119" t="s">
        <v>17</v>
      </c>
      <c r="D11" s="109" t="s">
        <v>241</v>
      </c>
      <c r="E11" s="118">
        <v>22783.09</v>
      </c>
      <c r="G11" s="120"/>
      <c r="I11" s="96"/>
      <c r="J11" s="97"/>
      <c r="K11" s="97"/>
      <c r="L11" s="120"/>
    </row>
    <row r="12" spans="1:12" ht="18.75">
      <c r="A12" s="114">
        <v>7400</v>
      </c>
      <c r="B12" s="118">
        <v>313.4</v>
      </c>
      <c r="C12" s="119" t="s">
        <v>18</v>
      </c>
      <c r="D12" s="109" t="s">
        <v>242</v>
      </c>
      <c r="E12" s="118">
        <v>0</v>
      </c>
      <c r="G12" s="120"/>
      <c r="I12" s="96"/>
      <c r="J12" s="97"/>
      <c r="K12" s="97"/>
      <c r="L12" s="120"/>
    </row>
    <row r="13" spans="1:11" ht="18.75">
      <c r="A13" s="114">
        <v>282500</v>
      </c>
      <c r="B13" s="118">
        <v>215628.83</v>
      </c>
      <c r="C13" s="119" t="s">
        <v>19</v>
      </c>
      <c r="D13" s="109" t="s">
        <v>243</v>
      </c>
      <c r="E13" s="118">
        <v>53938.53</v>
      </c>
      <c r="G13" s="120"/>
      <c r="J13" s="120"/>
      <c r="K13" s="120"/>
    </row>
    <row r="14" spans="1:10" ht="18.75">
      <c r="A14" s="114">
        <v>0</v>
      </c>
      <c r="B14" s="118">
        <v>0</v>
      </c>
      <c r="C14" s="119" t="s">
        <v>20</v>
      </c>
      <c r="D14" s="109" t="s">
        <v>244</v>
      </c>
      <c r="E14" s="118">
        <v>0</v>
      </c>
      <c r="G14" s="120"/>
      <c r="I14" s="96"/>
      <c r="J14" s="97"/>
    </row>
    <row r="15" spans="1:10" ht="18.75">
      <c r="A15" s="114">
        <v>75500</v>
      </c>
      <c r="B15" s="118">
        <v>62010</v>
      </c>
      <c r="C15" s="119" t="s">
        <v>21</v>
      </c>
      <c r="D15" s="109" t="s">
        <v>245</v>
      </c>
      <c r="E15" s="118">
        <v>0</v>
      </c>
      <c r="G15" s="120"/>
      <c r="J15" s="120"/>
    </row>
    <row r="16" spans="1:7" ht="18.75">
      <c r="A16" s="114">
        <v>0</v>
      </c>
      <c r="B16" s="118">
        <v>0</v>
      </c>
      <c r="C16" s="119" t="s">
        <v>22</v>
      </c>
      <c r="D16" s="109" t="s">
        <v>246</v>
      </c>
      <c r="E16" s="118">
        <v>0</v>
      </c>
      <c r="G16" s="120"/>
    </row>
    <row r="17" spans="1:7" ht="18.75">
      <c r="A17" s="114">
        <v>11570350</v>
      </c>
      <c r="B17" s="118">
        <v>6834545.54</v>
      </c>
      <c r="C17" s="119" t="s">
        <v>23</v>
      </c>
      <c r="D17" s="109" t="s">
        <v>247</v>
      </c>
      <c r="E17" s="118">
        <v>1272927.57</v>
      </c>
      <c r="F17" s="120"/>
      <c r="G17" s="120"/>
    </row>
    <row r="18" spans="1:7" ht="18.75">
      <c r="A18" s="121">
        <v>7629700</v>
      </c>
      <c r="B18" s="122">
        <v>8651221</v>
      </c>
      <c r="C18" s="119" t="s">
        <v>24</v>
      </c>
      <c r="D18" s="109" t="s">
        <v>248</v>
      </c>
      <c r="E18" s="122">
        <v>0</v>
      </c>
      <c r="G18" s="120"/>
    </row>
    <row r="19" spans="1:8" ht="19.5" thickBot="1">
      <c r="A19" s="123">
        <f>SUM(A11:A18)</f>
        <v>19633850</v>
      </c>
      <c r="B19" s="124">
        <f>SUM(B11:B18)</f>
        <v>15805817.36</v>
      </c>
      <c r="D19" s="109"/>
      <c r="E19" s="124">
        <f>SUM(E11+E12+E13+E14+E15+E16+E17+E18)</f>
        <v>1349649.19</v>
      </c>
      <c r="F19" s="120"/>
      <c r="G19" s="120"/>
      <c r="H19" s="120"/>
    </row>
    <row r="20" spans="1:7" ht="19.5" thickTop="1">
      <c r="A20" s="125"/>
      <c r="B20" s="126">
        <v>141940.46</v>
      </c>
      <c r="C20" s="119" t="s">
        <v>154</v>
      </c>
      <c r="D20" s="109" t="s">
        <v>249</v>
      </c>
      <c r="E20" s="116">
        <v>94069.08</v>
      </c>
      <c r="G20" s="120"/>
    </row>
    <row r="21" spans="1:7" ht="18.75">
      <c r="A21" s="125"/>
      <c r="B21" s="114">
        <v>78180</v>
      </c>
      <c r="C21" s="119" t="s">
        <v>159</v>
      </c>
      <c r="D21" s="109" t="s">
        <v>255</v>
      </c>
      <c r="E21" s="118">
        <v>19892</v>
      </c>
      <c r="G21" s="120"/>
    </row>
    <row r="22" spans="1:7" ht="18.75">
      <c r="A22" s="125"/>
      <c r="B22" s="114">
        <v>552412</v>
      </c>
      <c r="C22" s="127" t="s">
        <v>5</v>
      </c>
      <c r="D22" s="109" t="s">
        <v>250</v>
      </c>
      <c r="E22" s="118">
        <f>SUM(2942+41320+21080+49000+2640+71400+3900+3900)</f>
        <v>196182</v>
      </c>
      <c r="G22" s="120"/>
    </row>
    <row r="23" spans="1:7" ht="18.75">
      <c r="A23" s="125"/>
      <c r="B23" s="114">
        <v>2130560</v>
      </c>
      <c r="C23" s="119" t="s">
        <v>4</v>
      </c>
      <c r="D23" s="109" t="s">
        <v>251</v>
      </c>
      <c r="E23" s="118">
        <f>SUM(339000)</f>
        <v>339000</v>
      </c>
      <c r="F23" s="120"/>
      <c r="G23" s="120"/>
    </row>
    <row r="24" spans="1:7" ht="18.75">
      <c r="A24" s="125"/>
      <c r="B24" s="118">
        <v>683695.12</v>
      </c>
      <c r="C24" s="128" t="s">
        <v>103</v>
      </c>
      <c r="D24" s="109" t="s">
        <v>252</v>
      </c>
      <c r="E24" s="118">
        <f>SUM(74820)</f>
        <v>74820</v>
      </c>
      <c r="G24" s="120"/>
    </row>
    <row r="25" spans="1:7" ht="18.75">
      <c r="A25" s="125"/>
      <c r="B25" s="118">
        <v>15089.46</v>
      </c>
      <c r="C25" s="125" t="s">
        <v>160</v>
      </c>
      <c r="D25" s="109" t="s">
        <v>253</v>
      </c>
      <c r="E25" s="118">
        <v>0</v>
      </c>
      <c r="G25" s="120"/>
    </row>
    <row r="26" spans="1:7" ht="18.75">
      <c r="A26" s="125"/>
      <c r="B26" s="114">
        <v>5994960</v>
      </c>
      <c r="C26" s="119" t="s">
        <v>107</v>
      </c>
      <c r="D26" s="109" t="s">
        <v>254</v>
      </c>
      <c r="E26" s="118">
        <v>18900</v>
      </c>
      <c r="G26" s="120"/>
    </row>
    <row r="27" spans="1:7" ht="18.75">
      <c r="A27" s="125"/>
      <c r="B27" s="114"/>
      <c r="C27" s="119"/>
      <c r="D27" s="109"/>
      <c r="E27" s="118"/>
      <c r="G27" s="120"/>
    </row>
    <row r="28" spans="1:10" ht="18.75">
      <c r="A28" s="125"/>
      <c r="B28" s="114"/>
      <c r="C28" s="119"/>
      <c r="D28" s="109"/>
      <c r="E28" s="118"/>
      <c r="J28" s="120"/>
    </row>
    <row r="29" spans="1:10" ht="18.75">
      <c r="A29" s="125"/>
      <c r="B29" s="114"/>
      <c r="C29" s="119"/>
      <c r="D29" s="109"/>
      <c r="E29" s="118"/>
      <c r="J29" s="120"/>
    </row>
    <row r="30" spans="1:5" ht="18.75">
      <c r="A30" s="125"/>
      <c r="B30" s="114"/>
      <c r="C30" s="119"/>
      <c r="D30" s="109"/>
      <c r="E30" s="118"/>
    </row>
    <row r="31" spans="1:5" ht="18.75">
      <c r="A31" s="125"/>
      <c r="B31" s="114"/>
      <c r="C31" s="119"/>
      <c r="D31" s="109"/>
      <c r="E31" s="118"/>
    </row>
    <row r="32" spans="1:5" ht="18.75">
      <c r="A32" s="125"/>
      <c r="B32" s="114"/>
      <c r="C32" s="119"/>
      <c r="D32" s="109"/>
      <c r="E32" s="118"/>
    </row>
    <row r="33" spans="1:5" ht="18.75">
      <c r="A33" s="125"/>
      <c r="B33" s="114"/>
      <c r="C33" s="119"/>
      <c r="D33" s="109"/>
      <c r="E33" s="118"/>
    </row>
    <row r="34" spans="1:5" ht="18.75">
      <c r="A34" s="125"/>
      <c r="B34" s="114"/>
      <c r="C34" s="119"/>
      <c r="D34" s="109"/>
      <c r="E34" s="118"/>
    </row>
    <row r="35" spans="1:5" ht="18.75">
      <c r="A35" s="125"/>
      <c r="B35" s="114"/>
      <c r="C35" s="119"/>
      <c r="D35" s="109"/>
      <c r="E35" s="118"/>
    </row>
    <row r="36" spans="1:5" ht="18.75">
      <c r="A36" s="125"/>
      <c r="B36" s="121"/>
      <c r="C36" s="119"/>
      <c r="D36" s="109"/>
      <c r="E36" s="122"/>
    </row>
    <row r="37" spans="1:5" ht="18.75">
      <c r="A37" s="125"/>
      <c r="B37" s="98">
        <f>SUM(B20:B36)</f>
        <v>9596837.04</v>
      </c>
      <c r="D37" s="109"/>
      <c r="E37" s="98">
        <f>SUM(E20:E36)</f>
        <v>742863.0800000001</v>
      </c>
    </row>
    <row r="38" spans="1:5" ht="18.75">
      <c r="A38" s="125"/>
      <c r="B38" s="129">
        <f>SUM(B37+B19)</f>
        <v>25402654.4</v>
      </c>
      <c r="C38" s="108" t="s">
        <v>25</v>
      </c>
      <c r="D38" s="130"/>
      <c r="E38" s="131">
        <f>SUM(E37+E19)</f>
        <v>2092512.27</v>
      </c>
    </row>
    <row r="39" spans="1:5" ht="18.75">
      <c r="A39" s="125"/>
      <c r="B39" s="132"/>
      <c r="C39" s="133"/>
      <c r="D39" s="134"/>
      <c r="E39" s="132"/>
    </row>
    <row r="40" spans="1:5" ht="18.75">
      <c r="A40" s="125"/>
      <c r="B40" s="132"/>
      <c r="C40" s="133"/>
      <c r="D40" s="134"/>
      <c r="E40" s="132"/>
    </row>
    <row r="41" spans="1:5" ht="18.75">
      <c r="A41" s="125"/>
      <c r="B41" s="132"/>
      <c r="C41" s="133"/>
      <c r="D41" s="134"/>
      <c r="E41" s="132"/>
    </row>
    <row r="42" spans="1:5" ht="18.75">
      <c r="A42" s="125"/>
      <c r="B42" s="132"/>
      <c r="C42" s="133"/>
      <c r="D42" s="134"/>
      <c r="E42" s="132"/>
    </row>
    <row r="43" spans="1:5" ht="18.75">
      <c r="A43" s="125"/>
      <c r="B43" s="132"/>
      <c r="C43" s="133"/>
      <c r="D43" s="134"/>
      <c r="E43" s="132"/>
    </row>
    <row r="44" spans="1:5" ht="18.75">
      <c r="A44" s="125"/>
      <c r="B44" s="132"/>
      <c r="C44" s="133"/>
      <c r="D44" s="134"/>
      <c r="E44" s="132"/>
    </row>
    <row r="45" spans="1:5" ht="18.75">
      <c r="A45" s="253" t="s">
        <v>11</v>
      </c>
      <c r="B45" s="254"/>
      <c r="C45" s="106"/>
      <c r="D45" s="135"/>
      <c r="E45" s="136" t="s">
        <v>79</v>
      </c>
    </row>
    <row r="46" spans="1:5" ht="18.75">
      <c r="A46" s="107" t="s">
        <v>67</v>
      </c>
      <c r="B46" s="133" t="s">
        <v>12</v>
      </c>
      <c r="C46" s="108" t="s">
        <v>42</v>
      </c>
      <c r="D46" s="109" t="s">
        <v>13</v>
      </c>
      <c r="E46" s="110" t="s">
        <v>12</v>
      </c>
    </row>
    <row r="47" spans="1:5" ht="18.75">
      <c r="A47" s="137" t="s">
        <v>14</v>
      </c>
      <c r="B47" s="138" t="s">
        <v>14</v>
      </c>
      <c r="C47" s="139"/>
      <c r="D47" s="130" t="s">
        <v>15</v>
      </c>
      <c r="E47" s="137" t="s">
        <v>14</v>
      </c>
    </row>
    <row r="48" spans="1:5" ht="18.75">
      <c r="A48" s="114"/>
      <c r="B48" s="108"/>
      <c r="C48" s="117" t="s">
        <v>26</v>
      </c>
      <c r="D48" s="109"/>
      <c r="E48" s="110"/>
    </row>
    <row r="49" spans="1:9" ht="18.75">
      <c r="A49" s="114">
        <v>508458</v>
      </c>
      <c r="B49" s="118">
        <v>240737</v>
      </c>
      <c r="C49" s="128" t="s">
        <v>27</v>
      </c>
      <c r="D49" s="109" t="s">
        <v>256</v>
      </c>
      <c r="E49" s="118">
        <v>8700</v>
      </c>
      <c r="F49" s="120"/>
      <c r="G49" s="120"/>
      <c r="H49" s="120"/>
      <c r="I49" s="120"/>
    </row>
    <row r="50" spans="1:8" ht="18.75">
      <c r="A50" s="114">
        <v>2571120</v>
      </c>
      <c r="B50" s="118">
        <v>1300672.82</v>
      </c>
      <c r="C50" s="128" t="s">
        <v>28</v>
      </c>
      <c r="D50" s="109" t="s">
        <v>257</v>
      </c>
      <c r="E50" s="118">
        <v>214260</v>
      </c>
      <c r="F50" s="120"/>
      <c r="G50" s="120"/>
      <c r="H50" s="120"/>
    </row>
    <row r="51" spans="1:8" ht="18.75">
      <c r="A51" s="114">
        <v>4620030</v>
      </c>
      <c r="B51" s="118">
        <v>2407833.52</v>
      </c>
      <c r="C51" s="128" t="s">
        <v>28</v>
      </c>
      <c r="D51" s="109" t="s">
        <v>274</v>
      </c>
      <c r="E51" s="118">
        <v>355425</v>
      </c>
      <c r="F51" s="120"/>
      <c r="G51" s="120"/>
      <c r="H51" s="120"/>
    </row>
    <row r="52" spans="1:7" ht="18.75">
      <c r="A52" s="114">
        <v>1410760</v>
      </c>
      <c r="B52" s="118">
        <v>159157.33</v>
      </c>
      <c r="C52" s="128" t="s">
        <v>102</v>
      </c>
      <c r="D52" s="109" t="s">
        <v>258</v>
      </c>
      <c r="E52" s="118">
        <v>20350</v>
      </c>
      <c r="F52" s="120"/>
      <c r="G52" s="120"/>
    </row>
    <row r="53" spans="1:8" ht="18.75">
      <c r="A53" s="114">
        <v>3874200</v>
      </c>
      <c r="B53" s="118">
        <v>1705094.81</v>
      </c>
      <c r="C53" s="128" t="s">
        <v>29</v>
      </c>
      <c r="D53" s="109" t="s">
        <v>259</v>
      </c>
      <c r="E53" s="118">
        <f>SUM(346614.88+2942+41320+49000+2640+71400+3900+3900)</f>
        <v>521716.88</v>
      </c>
      <c r="F53" s="120"/>
      <c r="G53" s="120"/>
      <c r="H53" s="120"/>
    </row>
    <row r="54" spans="1:8" ht="18.75">
      <c r="A54" s="114">
        <v>1997600</v>
      </c>
      <c r="B54" s="118">
        <v>937199.44</v>
      </c>
      <c r="C54" s="128" t="s">
        <v>30</v>
      </c>
      <c r="D54" s="109" t="s">
        <v>260</v>
      </c>
      <c r="E54" s="118">
        <v>674401.1</v>
      </c>
      <c r="G54" s="120"/>
      <c r="H54" s="120"/>
    </row>
    <row r="55" spans="1:8" ht="18.75">
      <c r="A55" s="114">
        <v>264032</v>
      </c>
      <c r="B55" s="118">
        <v>125515.33</v>
      </c>
      <c r="C55" s="128" t="s">
        <v>31</v>
      </c>
      <c r="D55" s="109" t="s">
        <v>261</v>
      </c>
      <c r="E55" s="118">
        <v>22896.94</v>
      </c>
      <c r="G55" s="120"/>
      <c r="H55" s="120"/>
    </row>
    <row r="56" spans="1:7" ht="18.75">
      <c r="A56" s="114">
        <v>869600</v>
      </c>
      <c r="B56" s="118">
        <v>113000</v>
      </c>
      <c r="C56" s="128" t="s">
        <v>32</v>
      </c>
      <c r="D56" s="109" t="s">
        <v>262</v>
      </c>
      <c r="E56" s="118">
        <v>86500</v>
      </c>
      <c r="G56" s="120"/>
    </row>
    <row r="57" spans="1:7" ht="18.75">
      <c r="A57" s="114">
        <v>534050</v>
      </c>
      <c r="B57" s="118">
        <v>172600</v>
      </c>
      <c r="C57" s="128" t="s">
        <v>33</v>
      </c>
      <c r="D57" s="109" t="s">
        <v>263</v>
      </c>
      <c r="E57" s="118">
        <v>98000</v>
      </c>
      <c r="G57" s="120"/>
    </row>
    <row r="58" spans="1:7" ht="18.75">
      <c r="A58" s="114">
        <v>12000</v>
      </c>
      <c r="B58" s="118">
        <v>0</v>
      </c>
      <c r="C58" s="128" t="s">
        <v>7</v>
      </c>
      <c r="D58" s="109" t="s">
        <v>273</v>
      </c>
      <c r="E58" s="118">
        <v>0</v>
      </c>
      <c r="F58" s="120"/>
      <c r="G58" s="120"/>
    </row>
    <row r="59" spans="1:7" ht="18.75">
      <c r="A59" s="114">
        <v>2972000</v>
      </c>
      <c r="B59" s="118">
        <v>1606000</v>
      </c>
      <c r="C59" s="128" t="s">
        <v>24</v>
      </c>
      <c r="D59" s="109" t="s">
        <v>264</v>
      </c>
      <c r="E59" s="118">
        <v>150000</v>
      </c>
      <c r="G59" s="120"/>
    </row>
    <row r="60" spans="1:8" ht="19.5" thickBot="1">
      <c r="A60" s="123">
        <f>SUM(A49:A59)</f>
        <v>19633850</v>
      </c>
      <c r="B60" s="124">
        <f>SUM(B49:B59)</f>
        <v>8767810.25</v>
      </c>
      <c r="D60" s="109"/>
      <c r="E60" s="124">
        <f>SUM(E49:E59)</f>
        <v>2152249.92</v>
      </c>
      <c r="F60" s="120"/>
      <c r="G60" s="120"/>
      <c r="H60" s="120"/>
    </row>
    <row r="61" spans="1:7" ht="19.5" thickTop="1">
      <c r="A61" s="157"/>
      <c r="B61" s="116">
        <v>1580963.34</v>
      </c>
      <c r="C61" s="128" t="s">
        <v>34</v>
      </c>
      <c r="D61" s="109" t="s">
        <v>265</v>
      </c>
      <c r="E61" s="116">
        <f>SUM(169340+74820)</f>
        <v>244160</v>
      </c>
      <c r="G61" s="120"/>
    </row>
    <row r="62" spans="1:7" ht="18.75">
      <c r="A62" s="141"/>
      <c r="B62" s="118">
        <v>7350</v>
      </c>
      <c r="C62" s="128" t="s">
        <v>152</v>
      </c>
      <c r="D62" s="109" t="s">
        <v>266</v>
      </c>
      <c r="E62" s="118">
        <v>0</v>
      </c>
      <c r="F62" s="120"/>
      <c r="G62" s="120"/>
    </row>
    <row r="63" spans="1:7" ht="18.75">
      <c r="A63" s="125"/>
      <c r="B63" s="118">
        <v>0</v>
      </c>
      <c r="C63" s="128" t="s">
        <v>101</v>
      </c>
      <c r="D63" s="109" t="s">
        <v>267</v>
      </c>
      <c r="E63" s="118">
        <v>0</v>
      </c>
      <c r="G63" s="120"/>
    </row>
    <row r="64" spans="1:10" ht="18.75">
      <c r="A64" s="125"/>
      <c r="B64" s="118">
        <v>45599.89</v>
      </c>
      <c r="C64" s="128" t="s">
        <v>154</v>
      </c>
      <c r="D64" s="109" t="s">
        <v>249</v>
      </c>
      <c r="E64" s="118">
        <v>3351.59</v>
      </c>
      <c r="G64" s="120"/>
      <c r="J64" s="120"/>
    </row>
    <row r="65" spans="1:7" ht="18.75">
      <c r="A65" s="125"/>
      <c r="B65" s="118">
        <v>549526</v>
      </c>
      <c r="C65" s="125" t="s">
        <v>5</v>
      </c>
      <c r="D65" s="109" t="s">
        <v>250</v>
      </c>
      <c r="E65" s="140">
        <v>132664</v>
      </c>
      <c r="G65" s="120"/>
    </row>
    <row r="66" spans="1:7" ht="18.75">
      <c r="A66" s="141"/>
      <c r="B66" s="118">
        <v>2497372.72</v>
      </c>
      <c r="C66" s="125" t="s">
        <v>103</v>
      </c>
      <c r="D66" s="109" t="s">
        <v>252</v>
      </c>
      <c r="E66" s="140">
        <v>0</v>
      </c>
      <c r="G66" s="120"/>
    </row>
    <row r="67" spans="1:7" ht="18.75">
      <c r="A67" s="125"/>
      <c r="B67" s="118">
        <v>2130560</v>
      </c>
      <c r="C67" s="125" t="s">
        <v>155</v>
      </c>
      <c r="D67" s="109" t="s">
        <v>251</v>
      </c>
      <c r="E67" s="140">
        <v>339000</v>
      </c>
      <c r="G67" s="120"/>
    </row>
    <row r="68" spans="1:7" ht="18.75">
      <c r="A68" s="125"/>
      <c r="B68" s="118">
        <v>3392360</v>
      </c>
      <c r="C68" s="119" t="s">
        <v>161</v>
      </c>
      <c r="D68" s="109" t="s">
        <v>268</v>
      </c>
      <c r="E68" s="140">
        <f>SUM(140900+339000)</f>
        <v>479900</v>
      </c>
      <c r="G68" s="120"/>
    </row>
    <row r="69" spans="1:7" ht="18.75">
      <c r="A69" s="125"/>
      <c r="B69" s="118">
        <v>126000</v>
      </c>
      <c r="C69" s="119" t="s">
        <v>209</v>
      </c>
      <c r="D69" s="109" t="s">
        <v>269</v>
      </c>
      <c r="E69" s="140">
        <v>18000</v>
      </c>
      <c r="G69" s="120"/>
    </row>
    <row r="70" spans="1:7" ht="18.75">
      <c r="A70" s="125"/>
      <c r="B70" s="118">
        <v>0</v>
      </c>
      <c r="C70" s="119" t="s">
        <v>210</v>
      </c>
      <c r="D70" s="109" t="s">
        <v>270</v>
      </c>
      <c r="E70" s="140">
        <v>0</v>
      </c>
      <c r="G70" s="120"/>
    </row>
    <row r="71" spans="1:7" ht="18.75">
      <c r="A71" s="125"/>
      <c r="B71" s="118">
        <v>0</v>
      </c>
      <c r="C71" s="119" t="s">
        <v>211</v>
      </c>
      <c r="D71" s="109" t="s">
        <v>271</v>
      </c>
      <c r="E71" s="140">
        <v>0</v>
      </c>
      <c r="G71" s="120"/>
    </row>
    <row r="72" spans="1:7" ht="18.75">
      <c r="A72" s="125"/>
      <c r="B72" s="118">
        <v>0</v>
      </c>
      <c r="C72" s="119" t="s">
        <v>212</v>
      </c>
      <c r="D72" s="109" t="s">
        <v>272</v>
      </c>
      <c r="E72" s="140">
        <v>0</v>
      </c>
      <c r="G72" s="120"/>
    </row>
    <row r="73" spans="1:10" ht="18.75">
      <c r="A73" s="125"/>
      <c r="B73" s="118">
        <v>101100</v>
      </c>
      <c r="C73" s="125" t="s">
        <v>159</v>
      </c>
      <c r="D73" s="109" t="s">
        <v>255</v>
      </c>
      <c r="E73" s="140">
        <v>101100</v>
      </c>
      <c r="G73" s="120"/>
      <c r="J73" s="120"/>
    </row>
    <row r="74" spans="1:10" ht="18.75">
      <c r="A74" s="125"/>
      <c r="B74" s="118"/>
      <c r="C74" s="125"/>
      <c r="D74" s="109"/>
      <c r="E74" s="140"/>
      <c r="G74" s="120"/>
      <c r="J74" s="120"/>
    </row>
    <row r="75" spans="1:10" ht="18.75">
      <c r="A75" s="125"/>
      <c r="B75" s="118"/>
      <c r="C75" s="125"/>
      <c r="D75" s="109"/>
      <c r="E75" s="140"/>
      <c r="G75" s="120"/>
      <c r="J75" s="120"/>
    </row>
    <row r="76" spans="1:10" ht="18.75">
      <c r="A76" s="125"/>
      <c r="B76" s="118"/>
      <c r="C76" s="125"/>
      <c r="D76" s="109"/>
      <c r="E76" s="140"/>
      <c r="G76" s="120"/>
      <c r="J76" s="120"/>
    </row>
    <row r="77" spans="1:10" ht="18.75">
      <c r="A77" s="125"/>
      <c r="B77" s="118"/>
      <c r="C77" s="125"/>
      <c r="D77" s="109"/>
      <c r="E77" s="140"/>
      <c r="G77" s="120"/>
      <c r="J77" s="120"/>
    </row>
    <row r="78" spans="1:10" ht="18.75">
      <c r="A78" s="125"/>
      <c r="B78" s="118"/>
      <c r="C78" s="125"/>
      <c r="D78" s="109"/>
      <c r="E78" s="140"/>
      <c r="G78" s="120"/>
      <c r="J78" s="120"/>
    </row>
    <row r="79" spans="1:10" ht="18.75">
      <c r="A79" s="125"/>
      <c r="B79" s="118"/>
      <c r="C79" s="125"/>
      <c r="D79" s="109"/>
      <c r="E79" s="140"/>
      <c r="G79" s="120"/>
      <c r="J79" s="120"/>
    </row>
    <row r="80" spans="1:11" ht="18.75">
      <c r="A80" s="125"/>
      <c r="B80" s="98">
        <f>SUM(B61:B73)</f>
        <v>10430831.95</v>
      </c>
      <c r="C80" s="125"/>
      <c r="D80" s="109"/>
      <c r="E80" s="98">
        <f>SUM(E61:E73)</f>
        <v>1318175.5899999999</v>
      </c>
      <c r="H80" s="120"/>
      <c r="J80" s="120"/>
      <c r="K80" s="120"/>
    </row>
    <row r="81" spans="1:11" ht="18.75">
      <c r="A81" s="125"/>
      <c r="B81" s="98">
        <f>SUM(B80+B60)</f>
        <v>19198642.2</v>
      </c>
      <c r="C81" s="133" t="s">
        <v>35</v>
      </c>
      <c r="D81" s="109"/>
      <c r="E81" s="143">
        <f>SUM(E60+E80)</f>
        <v>3470425.51</v>
      </c>
      <c r="J81" s="120"/>
      <c r="K81" s="120"/>
    </row>
    <row r="82" spans="1:11" ht="18.75">
      <c r="A82" s="125"/>
      <c r="B82" s="118"/>
      <c r="C82" s="133" t="s">
        <v>36</v>
      </c>
      <c r="D82" s="109"/>
      <c r="E82" s="140"/>
      <c r="J82" s="120"/>
      <c r="K82" s="120"/>
    </row>
    <row r="83" spans="1:5" ht="18.75">
      <c r="A83" s="125"/>
      <c r="B83" s="118">
        <f>SUM(B38-B81)</f>
        <v>6204012.199999999</v>
      </c>
      <c r="C83" s="133" t="s">
        <v>37</v>
      </c>
      <c r="D83" s="109"/>
      <c r="E83" s="140">
        <f>SUM(E38-E81)</f>
        <v>-1377913.2399999998</v>
      </c>
    </row>
    <row r="84" spans="1:10" ht="18.75">
      <c r="A84" s="125"/>
      <c r="B84" s="118"/>
      <c r="C84" s="133" t="s">
        <v>38</v>
      </c>
      <c r="D84" s="109"/>
      <c r="E84" s="142"/>
      <c r="J84" s="120"/>
    </row>
    <row r="85" spans="2:11" ht="19.5" thickBot="1">
      <c r="B85" s="124">
        <f>SUM(B9+B83)</f>
        <v>36778559.58</v>
      </c>
      <c r="C85" s="133" t="s">
        <v>39</v>
      </c>
      <c r="D85" s="109"/>
      <c r="E85" s="144">
        <f>SUM(E9+E83)</f>
        <v>36778559.58</v>
      </c>
      <c r="F85" s="120"/>
      <c r="G85" s="120"/>
      <c r="J85" s="120"/>
      <c r="K85" s="101"/>
    </row>
    <row r="86" spans="2:11" ht="19.5" thickTop="1">
      <c r="B86" s="145"/>
      <c r="C86" s="133"/>
      <c r="E86" s="145"/>
      <c r="F86" s="187"/>
      <c r="G86" s="120"/>
      <c r="J86" s="120"/>
      <c r="K86" s="101"/>
    </row>
    <row r="87" spans="2:11" ht="18.75">
      <c r="B87" s="145"/>
      <c r="C87" s="133"/>
      <c r="E87" s="145"/>
      <c r="F87" s="120"/>
      <c r="G87" s="120"/>
      <c r="K87" s="120"/>
    </row>
    <row r="88" spans="2:11" ht="18.75">
      <c r="B88" s="145"/>
      <c r="C88" s="133"/>
      <c r="E88" s="145"/>
      <c r="G88" s="120"/>
      <c r="K88" s="147"/>
    </row>
    <row r="89" spans="1:6" ht="18.75">
      <c r="A89" s="95"/>
      <c r="B89" s="95"/>
      <c r="C89" s="95"/>
      <c r="D89" s="95"/>
      <c r="E89" s="97"/>
      <c r="F89" s="120"/>
    </row>
  </sheetData>
  <sheetProtection/>
  <mergeCells count="5">
    <mergeCell ref="A1:E1"/>
    <mergeCell ref="A2:E2"/>
    <mergeCell ref="A4:E4"/>
    <mergeCell ref="A6:B6"/>
    <mergeCell ref="A45:B45"/>
  </mergeCells>
  <printOptions/>
  <pageMargins left="0.35433070866141736" right="0.15748031496062992" top="0.11811023622047245" bottom="0.11811023622047245" header="0.5118110236220472" footer="0.5118110236220472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92"/>
  <sheetViews>
    <sheetView zoomScale="150" zoomScaleNormal="150" zoomScalePageLayoutView="0" workbookViewId="0" topLeftCell="K1">
      <selection activeCell="T98" sqref="T98"/>
    </sheetView>
  </sheetViews>
  <sheetFormatPr defaultColWidth="9.140625" defaultRowHeight="12.75"/>
  <cols>
    <col min="1" max="1" width="8.7109375" style="13" customWidth="1"/>
    <col min="2" max="2" width="7.421875" style="85" customWidth="1"/>
    <col min="3" max="3" width="7.57421875" style="12" customWidth="1"/>
    <col min="4" max="4" width="7.00390625" style="12" customWidth="1"/>
    <col min="5" max="5" width="6.28125" style="12" customWidth="1"/>
    <col min="6" max="6" width="8.00390625" style="12" customWidth="1"/>
    <col min="7" max="7" width="7.57421875" style="12" customWidth="1"/>
    <col min="8" max="8" width="7.421875" style="12" customWidth="1"/>
    <col min="9" max="9" width="7.7109375" style="85" customWidth="1"/>
    <col min="10" max="10" width="7.140625" style="12" customWidth="1"/>
    <col min="11" max="11" width="6.00390625" style="12" customWidth="1"/>
    <col min="12" max="12" width="7.00390625" style="12" customWidth="1"/>
    <col min="13" max="13" width="6.7109375" style="12" customWidth="1"/>
    <col min="14" max="14" width="7.421875" style="12" customWidth="1"/>
    <col min="15" max="15" width="6.8515625" style="12" customWidth="1"/>
    <col min="16" max="16" width="7.00390625" style="85" customWidth="1"/>
    <col min="17" max="17" width="7.57421875" style="12" customWidth="1"/>
    <col min="18" max="18" width="6.8515625" style="12" customWidth="1"/>
    <col min="19" max="19" width="7.421875" style="12" customWidth="1"/>
    <col min="20" max="20" width="10.28125" style="12" customWidth="1"/>
    <col min="21" max="21" width="9.140625" style="73" customWidth="1"/>
    <col min="22" max="22" width="9.57421875" style="73" customWidth="1"/>
    <col min="23" max="16384" width="9.140625" style="12" customWidth="1"/>
  </cols>
  <sheetData>
    <row r="1" spans="1:20" ht="16.5">
      <c r="A1" s="240" t="s">
        <v>110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</row>
    <row r="2" spans="1:20" ht="16.5">
      <c r="A2" s="240" t="s">
        <v>153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1:20" ht="16.5">
      <c r="A3" s="255" t="s">
        <v>282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</row>
    <row r="4" spans="1:20" ht="16.5">
      <c r="A4" s="81" t="s">
        <v>111</v>
      </c>
      <c r="B4" s="256" t="s">
        <v>112</v>
      </c>
      <c r="C4" s="257"/>
      <c r="D4" s="256" t="s">
        <v>113</v>
      </c>
      <c r="E4" s="257"/>
      <c r="F4" s="256" t="s">
        <v>114</v>
      </c>
      <c r="G4" s="257"/>
      <c r="H4" s="82" t="s">
        <v>115</v>
      </c>
      <c r="I4" s="10" t="s">
        <v>116</v>
      </c>
      <c r="J4" s="256" t="s">
        <v>117</v>
      </c>
      <c r="K4" s="257"/>
      <c r="L4" s="256" t="s">
        <v>118</v>
      </c>
      <c r="M4" s="257"/>
      <c r="N4" s="256" t="s">
        <v>119</v>
      </c>
      <c r="O4" s="257"/>
      <c r="P4" s="191" t="s">
        <v>142</v>
      </c>
      <c r="Q4" s="256" t="s">
        <v>120</v>
      </c>
      <c r="R4" s="257"/>
      <c r="S4" s="10" t="s">
        <v>121</v>
      </c>
      <c r="T4" s="236" t="s">
        <v>122</v>
      </c>
    </row>
    <row r="5" spans="1:20" ht="16.5">
      <c r="A5" s="194" t="s">
        <v>40</v>
      </c>
      <c r="B5" s="10" t="s">
        <v>123</v>
      </c>
      <c r="C5" s="10" t="s">
        <v>124</v>
      </c>
      <c r="D5" s="10" t="s">
        <v>125</v>
      </c>
      <c r="E5" s="10" t="s">
        <v>126</v>
      </c>
      <c r="F5" s="10" t="s">
        <v>127</v>
      </c>
      <c r="G5" s="10" t="s">
        <v>128</v>
      </c>
      <c r="H5" s="10" t="s">
        <v>129</v>
      </c>
      <c r="I5" s="10" t="s">
        <v>130</v>
      </c>
      <c r="J5" s="10" t="s">
        <v>131</v>
      </c>
      <c r="K5" s="10" t="s">
        <v>132</v>
      </c>
      <c r="L5" s="10" t="s">
        <v>167</v>
      </c>
      <c r="M5" s="10" t="s">
        <v>133</v>
      </c>
      <c r="N5" s="10" t="s">
        <v>134</v>
      </c>
      <c r="O5" s="10" t="s">
        <v>135</v>
      </c>
      <c r="P5" s="10" t="s">
        <v>136</v>
      </c>
      <c r="Q5" s="10" t="s">
        <v>137</v>
      </c>
      <c r="R5" s="10" t="s">
        <v>138</v>
      </c>
      <c r="S5" s="10" t="s">
        <v>139</v>
      </c>
      <c r="T5" s="237"/>
    </row>
    <row r="6" spans="1:22" s="85" customFormat="1" ht="14.25">
      <c r="A6" s="195">
        <v>510000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91"/>
      <c r="V6" s="91"/>
    </row>
    <row r="7" spans="1:22" s="85" customFormat="1" ht="14.25">
      <c r="A7" s="83">
        <v>110300</v>
      </c>
      <c r="B7" s="84">
        <v>0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4200</v>
      </c>
      <c r="T7" s="84">
        <f aca="true" t="shared" si="0" ref="T7:T13">SUM(B7:S7)</f>
        <v>4200</v>
      </c>
      <c r="U7" s="91"/>
      <c r="V7" s="91"/>
    </row>
    <row r="8" spans="1:22" s="85" customFormat="1" ht="14.25">
      <c r="A8" s="83">
        <v>110900</v>
      </c>
      <c r="B8" s="84">
        <v>0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/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4500</v>
      </c>
      <c r="T8" s="84">
        <f t="shared" si="0"/>
        <v>4500</v>
      </c>
      <c r="U8" s="91"/>
      <c r="V8" s="91"/>
    </row>
    <row r="9" spans="1:22" s="85" customFormat="1" ht="14.25">
      <c r="A9" s="83">
        <v>111000</v>
      </c>
      <c r="B9" s="84">
        <v>0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/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f t="shared" si="0"/>
        <v>0</v>
      </c>
      <c r="U9" s="91"/>
      <c r="V9" s="91"/>
    </row>
    <row r="10" spans="1:22" s="85" customFormat="1" ht="14.25">
      <c r="A10" s="89">
        <v>111100</v>
      </c>
      <c r="B10" s="84">
        <f aca="true" t="shared" si="1" ref="B10:H10">SUM(B7:B9)</f>
        <v>0</v>
      </c>
      <c r="C10" s="84">
        <f t="shared" si="1"/>
        <v>0</v>
      </c>
      <c r="D10" s="84">
        <f t="shared" si="1"/>
        <v>0</v>
      </c>
      <c r="E10" s="84">
        <f t="shared" si="1"/>
        <v>0</v>
      </c>
      <c r="F10" s="84">
        <f t="shared" si="1"/>
        <v>0</v>
      </c>
      <c r="G10" s="84">
        <f t="shared" si="1"/>
        <v>0</v>
      </c>
      <c r="H10" s="84">
        <f t="shared" si="1"/>
        <v>0</v>
      </c>
      <c r="I10" s="84">
        <v>0</v>
      </c>
      <c r="J10" s="84">
        <f aca="true" t="shared" si="2" ref="J10:R10">SUM(J7:J9)</f>
        <v>0</v>
      </c>
      <c r="K10" s="84">
        <f t="shared" si="2"/>
        <v>0</v>
      </c>
      <c r="L10" s="84">
        <f>SUM(L7:L9)</f>
        <v>0</v>
      </c>
      <c r="M10" s="84">
        <f t="shared" si="2"/>
        <v>0</v>
      </c>
      <c r="N10" s="84">
        <f t="shared" si="2"/>
        <v>0</v>
      </c>
      <c r="O10" s="84">
        <f t="shared" si="2"/>
        <v>0</v>
      </c>
      <c r="P10" s="84">
        <f t="shared" si="2"/>
        <v>0</v>
      </c>
      <c r="Q10" s="84">
        <f t="shared" si="2"/>
        <v>0</v>
      </c>
      <c r="R10" s="84">
        <f t="shared" si="2"/>
        <v>0</v>
      </c>
      <c r="S10" s="84">
        <v>0</v>
      </c>
      <c r="T10" s="84">
        <f t="shared" si="0"/>
        <v>0</v>
      </c>
      <c r="U10" s="91"/>
      <c r="V10" s="91"/>
    </row>
    <row r="11" spans="1:22" s="85" customFormat="1" ht="14.25">
      <c r="A11" s="89">
        <v>120100</v>
      </c>
      <c r="B11" s="84">
        <v>0</v>
      </c>
      <c r="C11" s="84">
        <v>0</v>
      </c>
      <c r="D11" s="84"/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f t="shared" si="0"/>
        <v>0</v>
      </c>
      <c r="U11" s="91"/>
      <c r="V11" s="91"/>
    </row>
    <row r="12" spans="1:22" s="85" customFormat="1" ht="14.25">
      <c r="A12" s="86" t="s">
        <v>140</v>
      </c>
      <c r="B12" s="84">
        <f>SUM(B6:B11)</f>
        <v>0</v>
      </c>
      <c r="C12" s="84">
        <f aca="true" t="shared" si="3" ref="C12:S12">SUM(C6:C11)</f>
        <v>0</v>
      </c>
      <c r="D12" s="84">
        <f t="shared" si="3"/>
        <v>0</v>
      </c>
      <c r="E12" s="84">
        <f t="shared" si="3"/>
        <v>0</v>
      </c>
      <c r="F12" s="84">
        <f t="shared" si="3"/>
        <v>0</v>
      </c>
      <c r="G12" s="84">
        <f t="shared" si="3"/>
        <v>0</v>
      </c>
      <c r="H12" s="84">
        <f t="shared" si="3"/>
        <v>0</v>
      </c>
      <c r="I12" s="84">
        <f t="shared" si="3"/>
        <v>0</v>
      </c>
      <c r="J12" s="84">
        <f t="shared" si="3"/>
        <v>0</v>
      </c>
      <c r="K12" s="84">
        <f t="shared" si="3"/>
        <v>0</v>
      </c>
      <c r="L12" s="84">
        <f t="shared" si="3"/>
        <v>0</v>
      </c>
      <c r="M12" s="84">
        <f t="shared" si="3"/>
        <v>0</v>
      </c>
      <c r="N12" s="84">
        <f t="shared" si="3"/>
        <v>0</v>
      </c>
      <c r="O12" s="84">
        <f t="shared" si="3"/>
        <v>0</v>
      </c>
      <c r="P12" s="84">
        <f t="shared" si="3"/>
        <v>0</v>
      </c>
      <c r="Q12" s="84">
        <f t="shared" si="3"/>
        <v>0</v>
      </c>
      <c r="R12" s="84">
        <f t="shared" si="3"/>
        <v>0</v>
      </c>
      <c r="S12" s="84">
        <f t="shared" si="3"/>
        <v>8700</v>
      </c>
      <c r="T12" s="84">
        <f t="shared" si="0"/>
        <v>8700</v>
      </c>
      <c r="U12" s="91"/>
      <c r="V12" s="91"/>
    </row>
    <row r="13" spans="1:22" s="85" customFormat="1" ht="14.25">
      <c r="A13" s="86" t="s">
        <v>141</v>
      </c>
      <c r="B13" s="84">
        <v>0</v>
      </c>
      <c r="C13" s="84">
        <v>0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f>SUM(4500+127902+7824+7896+8700+75215+8700)</f>
        <v>240737</v>
      </c>
      <c r="T13" s="84">
        <f t="shared" si="0"/>
        <v>240737</v>
      </c>
      <c r="U13" s="91"/>
      <c r="V13" s="91"/>
    </row>
    <row r="14" spans="1:22" s="85" customFormat="1" ht="14.25">
      <c r="A14" s="195">
        <v>521000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91"/>
      <c r="V14" s="91"/>
    </row>
    <row r="15" spans="1:22" s="85" customFormat="1" ht="14.25">
      <c r="A15" s="83">
        <v>210100</v>
      </c>
      <c r="B15" s="84">
        <v>42840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f>SUM(B15:S15)</f>
        <v>42840</v>
      </c>
      <c r="U15" s="91"/>
      <c r="V15" s="91"/>
    </row>
    <row r="16" spans="1:22" s="85" customFormat="1" ht="14.25">
      <c r="A16" s="83">
        <v>210200</v>
      </c>
      <c r="B16" s="84">
        <v>3510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f>SUM(B16:S16)</f>
        <v>3510</v>
      </c>
      <c r="U16" s="91"/>
      <c r="V16" s="91"/>
    </row>
    <row r="17" spans="1:22" s="85" customFormat="1" ht="14.25">
      <c r="A17" s="83">
        <v>210300</v>
      </c>
      <c r="B17" s="84">
        <v>3510</v>
      </c>
      <c r="C17" s="84">
        <v>0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f>SUM(B17:S17)</f>
        <v>3510</v>
      </c>
      <c r="U17" s="91"/>
      <c r="V17" s="91"/>
    </row>
    <row r="18" spans="1:22" s="85" customFormat="1" ht="14.25">
      <c r="A18" s="83">
        <v>210400</v>
      </c>
      <c r="B18" s="84">
        <v>7200</v>
      </c>
      <c r="C18" s="84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91"/>
      <c r="V18" s="91"/>
    </row>
    <row r="19" spans="1:22" s="85" customFormat="1" ht="14.25">
      <c r="A19" s="83">
        <v>210600</v>
      </c>
      <c r="B19" s="84">
        <v>157200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91"/>
      <c r="V19" s="91"/>
    </row>
    <row r="20" spans="1:22" s="85" customFormat="1" ht="14.25">
      <c r="A20" s="86" t="s">
        <v>140</v>
      </c>
      <c r="B20" s="84">
        <f aca="true" t="shared" si="4" ref="B20:S20">SUM(B15:B19)</f>
        <v>214260</v>
      </c>
      <c r="C20" s="84">
        <f t="shared" si="4"/>
        <v>0</v>
      </c>
      <c r="D20" s="84">
        <f t="shared" si="4"/>
        <v>0</v>
      </c>
      <c r="E20" s="84">
        <f t="shared" si="4"/>
        <v>0</v>
      </c>
      <c r="F20" s="84">
        <f t="shared" si="4"/>
        <v>0</v>
      </c>
      <c r="G20" s="84">
        <f t="shared" si="4"/>
        <v>0</v>
      </c>
      <c r="H20" s="84">
        <f t="shared" si="4"/>
        <v>0</v>
      </c>
      <c r="I20" s="84">
        <f t="shared" si="4"/>
        <v>0</v>
      </c>
      <c r="J20" s="84">
        <f>SUM(J15:J19)</f>
        <v>0</v>
      </c>
      <c r="K20" s="84">
        <f t="shared" si="4"/>
        <v>0</v>
      </c>
      <c r="L20" s="84">
        <f>SUM(L15:L19)</f>
        <v>0</v>
      </c>
      <c r="M20" s="84">
        <f t="shared" si="4"/>
        <v>0</v>
      </c>
      <c r="N20" s="84">
        <f t="shared" si="4"/>
        <v>0</v>
      </c>
      <c r="O20" s="84">
        <f t="shared" si="4"/>
        <v>0</v>
      </c>
      <c r="P20" s="84">
        <f t="shared" si="4"/>
        <v>0</v>
      </c>
      <c r="Q20" s="84">
        <f>SUM(Q15:Q19)</f>
        <v>0</v>
      </c>
      <c r="R20" s="84">
        <f t="shared" si="4"/>
        <v>0</v>
      </c>
      <c r="S20" s="84">
        <f t="shared" si="4"/>
        <v>0</v>
      </c>
      <c r="T20" s="84">
        <f>SUM(B20:S20)</f>
        <v>214260</v>
      </c>
      <c r="U20" s="91"/>
      <c r="V20" s="91"/>
    </row>
    <row r="21" spans="1:22" s="85" customFormat="1" ht="14.25">
      <c r="A21" s="86" t="s">
        <v>141</v>
      </c>
      <c r="B21" s="220">
        <f>SUM(443632.82+214260+214260+214260+214260)</f>
        <v>1300672.82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f>SUM(B21:S21)</f>
        <v>1300672.82</v>
      </c>
      <c r="U21" s="91"/>
      <c r="V21" s="91"/>
    </row>
    <row r="22" spans="1:22" s="85" customFormat="1" ht="14.25">
      <c r="A22" s="195">
        <v>522000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91"/>
      <c r="V22" s="91"/>
    </row>
    <row r="23" spans="1:22" s="85" customFormat="1" ht="14.25">
      <c r="A23" s="83">
        <v>220100</v>
      </c>
      <c r="B23" s="84">
        <v>107910</v>
      </c>
      <c r="C23" s="84">
        <v>68740</v>
      </c>
      <c r="D23" s="84">
        <v>0</v>
      </c>
      <c r="E23" s="84">
        <v>0</v>
      </c>
      <c r="F23" s="84">
        <v>34820</v>
      </c>
      <c r="G23" s="84">
        <v>0</v>
      </c>
      <c r="H23" s="84">
        <v>0</v>
      </c>
      <c r="I23" s="84">
        <v>0</v>
      </c>
      <c r="J23" s="84">
        <v>36020</v>
      </c>
      <c r="K23" s="84">
        <v>0</v>
      </c>
      <c r="L23" s="84">
        <v>17310</v>
      </c>
      <c r="M23" s="84">
        <v>0</v>
      </c>
      <c r="N23" s="84">
        <v>0</v>
      </c>
      <c r="O23" s="84">
        <v>0</v>
      </c>
      <c r="P23" s="84">
        <v>0</v>
      </c>
      <c r="Q23" s="84">
        <v>17690</v>
      </c>
      <c r="R23" s="84">
        <v>0</v>
      </c>
      <c r="S23" s="84">
        <v>0</v>
      </c>
      <c r="T23" s="84">
        <f>SUM(B23:S23)</f>
        <v>282490</v>
      </c>
      <c r="U23" s="91"/>
      <c r="V23" s="91"/>
    </row>
    <row r="24" spans="1:22" s="85" customFormat="1" ht="14.25">
      <c r="A24" s="83">
        <v>220200</v>
      </c>
      <c r="B24" s="84">
        <f>SUM(5600+1500)</f>
        <v>7100</v>
      </c>
      <c r="C24" s="84">
        <v>3585</v>
      </c>
      <c r="D24" s="84">
        <v>0</v>
      </c>
      <c r="E24" s="84">
        <v>0</v>
      </c>
      <c r="F24" s="84">
        <v>150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f aca="true" t="shared" si="5" ref="T24:T29">SUM(B24:S24)</f>
        <v>10835</v>
      </c>
      <c r="U24" s="91"/>
      <c r="V24" s="91"/>
    </row>
    <row r="25" spans="1:22" s="85" customFormat="1" ht="14.25">
      <c r="A25" s="83">
        <v>220300</v>
      </c>
      <c r="B25" s="84">
        <v>9100</v>
      </c>
      <c r="C25" s="84">
        <v>3500</v>
      </c>
      <c r="D25" s="84">
        <v>0</v>
      </c>
      <c r="E25" s="84">
        <v>0</v>
      </c>
      <c r="F25" s="84">
        <v>3500</v>
      </c>
      <c r="G25" s="84">
        <v>0</v>
      </c>
      <c r="H25" s="84">
        <v>0</v>
      </c>
      <c r="I25" s="84">
        <v>0</v>
      </c>
      <c r="J25" s="84">
        <v>3500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3500</v>
      </c>
      <c r="R25" s="84">
        <v>0</v>
      </c>
      <c r="S25" s="84">
        <v>0</v>
      </c>
      <c r="T25" s="84">
        <f t="shared" si="5"/>
        <v>23100</v>
      </c>
      <c r="U25" s="91"/>
      <c r="V25" s="91"/>
    </row>
    <row r="26" spans="1:22" s="85" customFormat="1" ht="14.25">
      <c r="A26" s="83">
        <v>220400</v>
      </c>
      <c r="B26" s="84">
        <v>0</v>
      </c>
      <c r="C26" s="84">
        <v>12090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f t="shared" si="5"/>
        <v>12090</v>
      </c>
      <c r="U26" s="91"/>
      <c r="V26" s="91"/>
    </row>
    <row r="27" spans="1:22" s="85" customFormat="1" ht="14.25">
      <c r="A27" s="83">
        <v>220500</v>
      </c>
      <c r="B27" s="84">
        <v>0</v>
      </c>
      <c r="C27" s="84">
        <v>2910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f t="shared" si="5"/>
        <v>2910</v>
      </c>
      <c r="U27" s="91"/>
      <c r="V27" s="91"/>
    </row>
    <row r="28" spans="1:22" s="85" customFormat="1" ht="14.25">
      <c r="A28" s="83">
        <v>220600</v>
      </c>
      <c r="B28" s="84">
        <v>6530</v>
      </c>
      <c r="C28" s="84">
        <v>6790</v>
      </c>
      <c r="D28" s="84">
        <v>0</v>
      </c>
      <c r="E28" s="84">
        <v>0</v>
      </c>
      <c r="F28" s="84">
        <v>540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f t="shared" si="5"/>
        <v>13860</v>
      </c>
      <c r="U28" s="91"/>
      <c r="V28" s="91"/>
    </row>
    <row r="29" spans="1:22" s="85" customFormat="1" ht="14.25">
      <c r="A29" s="83">
        <v>220700</v>
      </c>
      <c r="B29" s="84">
        <v>2470</v>
      </c>
      <c r="C29" s="84">
        <v>2210</v>
      </c>
      <c r="D29" s="84">
        <v>0</v>
      </c>
      <c r="E29" s="84">
        <v>0</v>
      </c>
      <c r="F29" s="84">
        <v>5460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f t="shared" si="5"/>
        <v>10140</v>
      </c>
      <c r="U29" s="91"/>
      <c r="V29" s="91"/>
    </row>
    <row r="30" spans="1:22" s="85" customFormat="1" ht="14.25">
      <c r="A30" s="86" t="s">
        <v>140</v>
      </c>
      <c r="B30" s="84">
        <f>SUM(B23:B29)</f>
        <v>133110</v>
      </c>
      <c r="C30" s="84">
        <f>SUM(C23:C29)</f>
        <v>99825</v>
      </c>
      <c r="D30" s="84">
        <f aca="true" t="shared" si="6" ref="D30:S30">SUM(D23:D29)</f>
        <v>0</v>
      </c>
      <c r="E30" s="84">
        <f t="shared" si="6"/>
        <v>0</v>
      </c>
      <c r="F30" s="84">
        <f>SUM(F23:F29)</f>
        <v>44470</v>
      </c>
      <c r="G30" s="84">
        <f t="shared" si="6"/>
        <v>0</v>
      </c>
      <c r="H30" s="84">
        <f t="shared" si="6"/>
        <v>0</v>
      </c>
      <c r="I30" s="84">
        <f t="shared" si="6"/>
        <v>0</v>
      </c>
      <c r="J30" s="84">
        <f>SUM(J23:J29)</f>
        <v>39520</v>
      </c>
      <c r="K30" s="84">
        <f t="shared" si="6"/>
        <v>0</v>
      </c>
      <c r="L30" s="84">
        <f>SUM(L23:L29)</f>
        <v>17310</v>
      </c>
      <c r="M30" s="84">
        <f t="shared" si="6"/>
        <v>0</v>
      </c>
      <c r="N30" s="84">
        <f t="shared" si="6"/>
        <v>0</v>
      </c>
      <c r="O30" s="84">
        <f t="shared" si="6"/>
        <v>0</v>
      </c>
      <c r="P30" s="84">
        <f t="shared" si="6"/>
        <v>0</v>
      </c>
      <c r="Q30" s="84">
        <f>SUM(Q23:Q29)</f>
        <v>21190</v>
      </c>
      <c r="R30" s="84">
        <f t="shared" si="6"/>
        <v>0</v>
      </c>
      <c r="S30" s="84">
        <f t="shared" si="6"/>
        <v>0</v>
      </c>
      <c r="T30" s="84">
        <f>SUM(B30:S30)</f>
        <v>355425</v>
      </c>
      <c r="U30" s="91"/>
      <c r="V30" s="91"/>
    </row>
    <row r="31" spans="1:22" s="85" customFormat="1" ht="14.25">
      <c r="A31" s="86" t="s">
        <v>141</v>
      </c>
      <c r="B31" s="84">
        <f>SUM(138376.67+119360+122060+120260+95320+131631.94+133110)</f>
        <v>860118.6100000001</v>
      </c>
      <c r="C31" s="84">
        <f>SUM(95646.67+91630+95050+92770+84495+99149.52+99825)</f>
        <v>658566.19</v>
      </c>
      <c r="D31" s="84">
        <v>0</v>
      </c>
      <c r="E31" s="84">
        <v>0</v>
      </c>
      <c r="F31" s="84">
        <f>SUM(59106.67+40090+41620+40600+22360+44080+44470)</f>
        <v>292326.67</v>
      </c>
      <c r="G31" s="84">
        <v>0</v>
      </c>
      <c r="H31" s="84">
        <v>0</v>
      </c>
      <c r="I31" s="84">
        <v>0</v>
      </c>
      <c r="J31" s="84">
        <f>SUM(56536.67+37520+39620+38220+32485+38865+39520)</f>
        <v>282766.67</v>
      </c>
      <c r="K31" s="84">
        <v>0</v>
      </c>
      <c r="L31" s="220">
        <f>SUM(24340+21660+26000+24000+18223.23+25920+17310)</f>
        <v>157453.22999999998</v>
      </c>
      <c r="M31" s="84">
        <v>0</v>
      </c>
      <c r="N31" s="84">
        <v>0</v>
      </c>
      <c r="O31" s="84">
        <v>0</v>
      </c>
      <c r="P31" s="84">
        <v>0</v>
      </c>
      <c r="Q31" s="84">
        <f>SUM(37176.67+18160+20470+18930+20810+20810+21190)</f>
        <v>157546.66999999998</v>
      </c>
      <c r="R31" s="84">
        <v>0</v>
      </c>
      <c r="S31" s="84">
        <v>0</v>
      </c>
      <c r="T31" s="84">
        <f>SUM(B31:S31)</f>
        <v>2408778.04</v>
      </c>
      <c r="U31" s="91"/>
      <c r="V31" s="91"/>
    </row>
    <row r="32" spans="1:22" s="85" customFormat="1" ht="14.25">
      <c r="A32" s="195">
        <v>531000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91"/>
      <c r="V32" s="91"/>
    </row>
    <row r="33" spans="1:22" s="85" customFormat="1" ht="14.25">
      <c r="A33" s="83">
        <v>310100</v>
      </c>
      <c r="B33" s="84">
        <v>0</v>
      </c>
      <c r="C33" s="84">
        <v>1000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f aca="true" t="shared" si="7" ref="T33:T38">SUM(B33:S33)</f>
        <v>1000</v>
      </c>
      <c r="U33" s="91"/>
      <c r="V33" s="91"/>
    </row>
    <row r="34" spans="1:22" s="85" customFormat="1" ht="14.25">
      <c r="A34" s="83">
        <v>310400</v>
      </c>
      <c r="B34" s="84">
        <v>5500</v>
      </c>
      <c r="C34" s="84">
        <v>6400</v>
      </c>
      <c r="D34" s="84">
        <v>0</v>
      </c>
      <c r="E34" s="84">
        <v>0</v>
      </c>
      <c r="F34" s="84">
        <v>2500</v>
      </c>
      <c r="G34" s="84">
        <v>0</v>
      </c>
      <c r="H34" s="84">
        <v>0</v>
      </c>
      <c r="I34" s="84">
        <v>0</v>
      </c>
      <c r="J34" s="84">
        <v>1950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3000</v>
      </c>
      <c r="R34" s="84">
        <v>0</v>
      </c>
      <c r="S34" s="84">
        <v>0</v>
      </c>
      <c r="T34" s="84">
        <f t="shared" si="7"/>
        <v>19350</v>
      </c>
      <c r="U34" s="91"/>
      <c r="V34" s="91"/>
    </row>
    <row r="35" spans="1:22" s="85" customFormat="1" ht="14.25">
      <c r="A35" s="83">
        <v>310500</v>
      </c>
      <c r="B35" s="84">
        <v>0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f t="shared" si="7"/>
        <v>0</v>
      </c>
      <c r="U35" s="91"/>
      <c r="V35" s="91"/>
    </row>
    <row r="36" spans="1:22" s="85" customFormat="1" ht="14.25">
      <c r="A36" s="83">
        <v>310600</v>
      </c>
      <c r="B36" s="84">
        <v>0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f t="shared" si="7"/>
        <v>0</v>
      </c>
      <c r="U36" s="91"/>
      <c r="V36" s="91"/>
    </row>
    <row r="37" spans="1:22" s="85" customFormat="1" ht="14.25">
      <c r="A37" s="86" t="s">
        <v>140</v>
      </c>
      <c r="B37" s="84">
        <f>SUM(B33:B36)</f>
        <v>5500</v>
      </c>
      <c r="C37" s="84">
        <f aca="true" t="shared" si="8" ref="C37:S37">SUM(C33:C36)</f>
        <v>7400</v>
      </c>
      <c r="D37" s="84">
        <f t="shared" si="8"/>
        <v>0</v>
      </c>
      <c r="E37" s="84">
        <f t="shared" si="8"/>
        <v>0</v>
      </c>
      <c r="F37" s="84">
        <f t="shared" si="8"/>
        <v>2500</v>
      </c>
      <c r="G37" s="84">
        <f t="shared" si="8"/>
        <v>0</v>
      </c>
      <c r="H37" s="84">
        <f t="shared" si="8"/>
        <v>0</v>
      </c>
      <c r="I37" s="84">
        <f t="shared" si="8"/>
        <v>0</v>
      </c>
      <c r="J37" s="84">
        <f t="shared" si="8"/>
        <v>1950</v>
      </c>
      <c r="K37" s="84">
        <f t="shared" si="8"/>
        <v>0</v>
      </c>
      <c r="L37" s="84">
        <f t="shared" si="8"/>
        <v>0</v>
      </c>
      <c r="M37" s="84">
        <f t="shared" si="8"/>
        <v>0</v>
      </c>
      <c r="N37" s="84">
        <f t="shared" si="8"/>
        <v>0</v>
      </c>
      <c r="O37" s="84">
        <f t="shared" si="8"/>
        <v>0</v>
      </c>
      <c r="P37" s="84">
        <f t="shared" si="8"/>
        <v>0</v>
      </c>
      <c r="Q37" s="84">
        <f t="shared" si="8"/>
        <v>3000</v>
      </c>
      <c r="R37" s="84">
        <f t="shared" si="8"/>
        <v>0</v>
      </c>
      <c r="S37" s="84">
        <f t="shared" si="8"/>
        <v>0</v>
      </c>
      <c r="T37" s="84">
        <f t="shared" si="7"/>
        <v>20350</v>
      </c>
      <c r="U37" s="91"/>
      <c r="V37" s="91"/>
    </row>
    <row r="38" spans="1:22" s="85" customFormat="1" ht="14.25">
      <c r="A38" s="86" t="s">
        <v>141</v>
      </c>
      <c r="B38" s="84">
        <f>SUM(5381+4550+4550+8202+8800+14623.33+5500)</f>
        <v>51606.33</v>
      </c>
      <c r="C38" s="84">
        <f>SUM(11657+6153+5202+4250+2500+11637+7400)</f>
        <v>48799</v>
      </c>
      <c r="D38" s="84">
        <v>0</v>
      </c>
      <c r="E38" s="84">
        <v>0</v>
      </c>
      <c r="F38" s="84">
        <f>SUM(3113+4102+2400+2400+2400+4600+2500)</f>
        <v>21515</v>
      </c>
      <c r="G38" s="84">
        <v>0</v>
      </c>
      <c r="H38" s="84">
        <v>0</v>
      </c>
      <c r="I38" s="84">
        <v>0</v>
      </c>
      <c r="J38" s="84">
        <f>SUM(1600+1600+1600+1600+1600+4950+1950)</f>
        <v>14900</v>
      </c>
      <c r="K38" s="84">
        <v>0</v>
      </c>
      <c r="L38" s="84">
        <f>SUM(1937)</f>
        <v>1937</v>
      </c>
      <c r="M38" s="84">
        <v>0</v>
      </c>
      <c r="N38" s="84">
        <v>0</v>
      </c>
      <c r="O38" s="84">
        <v>0</v>
      </c>
      <c r="P38" s="84">
        <v>0</v>
      </c>
      <c r="Q38" s="84">
        <f>SUM(2400+2400+2400+2400+2400+5400+3000)</f>
        <v>20400</v>
      </c>
      <c r="R38" s="84">
        <v>0</v>
      </c>
      <c r="S38" s="84">
        <v>0</v>
      </c>
      <c r="T38" s="84">
        <f t="shared" si="7"/>
        <v>159157.33000000002</v>
      </c>
      <c r="U38" s="91"/>
      <c r="V38" s="91"/>
    </row>
    <row r="39" spans="1:22" s="85" customFormat="1" ht="14.25">
      <c r="A39" s="195">
        <v>532000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91"/>
      <c r="V39" s="91"/>
    </row>
    <row r="40" spans="1:22" s="85" customFormat="1" ht="14.25">
      <c r="A40" s="83">
        <v>320100</v>
      </c>
      <c r="B40" s="84">
        <f>SUM(7000)</f>
        <v>7000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f>SUM(B40:S40)</f>
        <v>7000</v>
      </c>
      <c r="U40" s="91"/>
      <c r="V40" s="91"/>
    </row>
    <row r="41" spans="1:22" s="85" customFormat="1" ht="14.25">
      <c r="A41" s="83">
        <v>320200</v>
      </c>
      <c r="B41" s="84">
        <v>0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84">
        <v>0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f>SUM(B41:S41)</f>
        <v>0</v>
      </c>
      <c r="U41" s="91"/>
      <c r="V41" s="91"/>
    </row>
    <row r="42" spans="1:22" s="85" customFormat="1" ht="14.25">
      <c r="A42" s="83">
        <v>320300</v>
      </c>
      <c r="B42" s="84">
        <v>13382</v>
      </c>
      <c r="C42" s="84">
        <v>0</v>
      </c>
      <c r="D42" s="84">
        <v>0</v>
      </c>
      <c r="E42" s="220">
        <v>71400</v>
      </c>
      <c r="F42" s="84">
        <v>49000</v>
      </c>
      <c r="G42" s="84">
        <v>168776</v>
      </c>
      <c r="H42" s="84">
        <v>0</v>
      </c>
      <c r="I42" s="84">
        <v>85000</v>
      </c>
      <c r="J42" s="84">
        <v>0</v>
      </c>
      <c r="K42" s="220">
        <v>72695</v>
      </c>
      <c r="L42" s="84">
        <v>0</v>
      </c>
      <c r="M42" s="84">
        <v>0</v>
      </c>
      <c r="N42" s="84">
        <v>41320</v>
      </c>
      <c r="O42" s="220">
        <v>0</v>
      </c>
      <c r="P42" s="84">
        <v>0</v>
      </c>
      <c r="Q42" s="84">
        <v>0</v>
      </c>
      <c r="R42" s="84">
        <v>0</v>
      </c>
      <c r="S42" s="84">
        <v>0</v>
      </c>
      <c r="T42" s="84">
        <f>SUM(B42:S42)</f>
        <v>501573</v>
      </c>
      <c r="U42" s="91"/>
      <c r="V42" s="91"/>
    </row>
    <row r="43" spans="1:22" s="85" customFormat="1" ht="14.25">
      <c r="A43" s="83">
        <v>320400</v>
      </c>
      <c r="B43" s="84">
        <v>13143.88</v>
      </c>
      <c r="C43" s="84">
        <v>0</v>
      </c>
      <c r="D43" s="84">
        <v>0</v>
      </c>
      <c r="E43" s="220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220">
        <v>0</v>
      </c>
      <c r="L43" s="84">
        <v>0</v>
      </c>
      <c r="M43" s="84">
        <v>0</v>
      </c>
      <c r="N43" s="84">
        <v>0</v>
      </c>
      <c r="O43" s="220">
        <v>0</v>
      </c>
      <c r="P43" s="84">
        <v>0</v>
      </c>
      <c r="Q43" s="84">
        <v>0</v>
      </c>
      <c r="R43" s="84">
        <v>0</v>
      </c>
      <c r="S43" s="84">
        <v>0</v>
      </c>
      <c r="T43" s="84">
        <f>SUM(B43:S43)</f>
        <v>13143.88</v>
      </c>
      <c r="U43" s="91"/>
      <c r="V43" s="91"/>
    </row>
    <row r="44" spans="1:22" s="85" customFormat="1" ht="14.25">
      <c r="A44" s="86" t="s">
        <v>140</v>
      </c>
      <c r="B44" s="84">
        <f>SUM(B40:B43)</f>
        <v>33525.88</v>
      </c>
      <c r="C44" s="84">
        <f aca="true" t="shared" si="9" ref="C44:S44">SUM(C40:C43)</f>
        <v>0</v>
      </c>
      <c r="D44" s="84">
        <f t="shared" si="9"/>
        <v>0</v>
      </c>
      <c r="E44" s="220">
        <f t="shared" si="9"/>
        <v>71400</v>
      </c>
      <c r="F44" s="84">
        <f t="shared" si="9"/>
        <v>49000</v>
      </c>
      <c r="G44" s="84">
        <f t="shared" si="9"/>
        <v>168776</v>
      </c>
      <c r="H44" s="84">
        <f t="shared" si="9"/>
        <v>0</v>
      </c>
      <c r="I44" s="84">
        <f t="shared" si="9"/>
        <v>85000</v>
      </c>
      <c r="J44" s="84">
        <f t="shared" si="9"/>
        <v>0</v>
      </c>
      <c r="K44" s="220">
        <f t="shared" si="9"/>
        <v>72695</v>
      </c>
      <c r="L44" s="84">
        <f>SUM(L40:L43)</f>
        <v>0</v>
      </c>
      <c r="M44" s="84">
        <f t="shared" si="9"/>
        <v>0</v>
      </c>
      <c r="N44" s="84">
        <f t="shared" si="9"/>
        <v>41320</v>
      </c>
      <c r="O44" s="220">
        <f t="shared" si="9"/>
        <v>0</v>
      </c>
      <c r="P44" s="84">
        <f t="shared" si="9"/>
        <v>0</v>
      </c>
      <c r="Q44" s="84">
        <f t="shared" si="9"/>
        <v>0</v>
      </c>
      <c r="R44" s="84">
        <f t="shared" si="9"/>
        <v>0</v>
      </c>
      <c r="S44" s="84">
        <f t="shared" si="9"/>
        <v>0</v>
      </c>
      <c r="T44" s="84">
        <f>SUM(B44:S44)</f>
        <v>521716.88</v>
      </c>
      <c r="U44" s="91"/>
      <c r="V44" s="91"/>
    </row>
    <row r="45" spans="1:22" s="85" customFormat="1" ht="14.25">
      <c r="A45" s="86" t="s">
        <v>141</v>
      </c>
      <c r="B45" s="84">
        <f>SUM(258277+30182.02+26824+10571.41+51242.5+7000+33525.88)</f>
        <v>417622.81</v>
      </c>
      <c r="C45" s="84">
        <f>SUM(850+14100+3250+20848)</f>
        <v>39048</v>
      </c>
      <c r="D45" s="84">
        <v>0</v>
      </c>
      <c r="E45" s="221">
        <f>SUM(71400+31800+71400)</f>
        <v>174600</v>
      </c>
      <c r="F45" s="84">
        <f>SUM(4000+1220+6770+6600+8700+49000)</f>
        <v>76290</v>
      </c>
      <c r="G45" s="84">
        <f>SUM(190504+20000+168776)</f>
        <v>379280</v>
      </c>
      <c r="H45" s="84">
        <v>0</v>
      </c>
      <c r="I45" s="84">
        <f>SUM(72000+85000)</f>
        <v>157000</v>
      </c>
      <c r="J45" s="84">
        <f>SUM(6500)</f>
        <v>6500</v>
      </c>
      <c r="K45" s="220">
        <f>SUM(72695)</f>
        <v>72695</v>
      </c>
      <c r="L45" s="84">
        <f>SUM(8900)</f>
        <v>8900</v>
      </c>
      <c r="M45" s="84">
        <v>0</v>
      </c>
      <c r="N45" s="84">
        <f>SUM(17555+41320)</f>
        <v>58875</v>
      </c>
      <c r="O45" s="220">
        <f>SUM(98500+120000)</f>
        <v>218500</v>
      </c>
      <c r="P45" s="84">
        <v>0</v>
      </c>
      <c r="Q45" s="84">
        <f>SUM(1268+6540+1078+4500+61298)</f>
        <v>74684</v>
      </c>
      <c r="R45" s="84">
        <f>SUM(21100)</f>
        <v>21100</v>
      </c>
      <c r="S45" s="84">
        <v>0</v>
      </c>
      <c r="T45" s="84">
        <f>SUM(B45:S45)</f>
        <v>1705094.81</v>
      </c>
      <c r="U45" s="91"/>
      <c r="V45" s="91"/>
    </row>
    <row r="46" spans="1:22" s="85" customFormat="1" ht="14.25">
      <c r="A46" s="195">
        <v>533000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91"/>
      <c r="V46" s="91"/>
    </row>
    <row r="47" spans="1:22" s="85" customFormat="1" ht="14.25">
      <c r="A47" s="83">
        <v>330100</v>
      </c>
      <c r="B47" s="84">
        <v>0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f aca="true" t="shared" si="10" ref="T47:T54">SUM(B47:S47)</f>
        <v>0</v>
      </c>
      <c r="U47" s="91"/>
      <c r="V47" s="91"/>
    </row>
    <row r="48" spans="1:22" s="85" customFormat="1" ht="14.25">
      <c r="A48" s="83">
        <v>330200</v>
      </c>
      <c r="B48" s="84">
        <v>0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84">
        <v>0</v>
      </c>
      <c r="T48" s="84">
        <f t="shared" si="10"/>
        <v>0</v>
      </c>
      <c r="U48" s="91"/>
      <c r="V48" s="91"/>
    </row>
    <row r="49" spans="1:22" s="85" customFormat="1" ht="14.25">
      <c r="A49" s="83">
        <v>330300</v>
      </c>
      <c r="B49" s="84">
        <v>0</v>
      </c>
      <c r="C49" s="84">
        <v>0</v>
      </c>
      <c r="D49" s="84">
        <v>0</v>
      </c>
      <c r="E49" s="84">
        <v>0</v>
      </c>
      <c r="F49" s="84">
        <v>0</v>
      </c>
      <c r="G49" s="84">
        <v>668021.3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f t="shared" si="10"/>
        <v>668021.3</v>
      </c>
      <c r="U49" s="91"/>
      <c r="V49" s="91"/>
    </row>
    <row r="50" spans="1:22" s="85" customFormat="1" ht="14.25">
      <c r="A50" s="83">
        <v>330700</v>
      </c>
      <c r="B50" s="84">
        <v>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f t="shared" si="10"/>
        <v>0</v>
      </c>
      <c r="U50" s="91"/>
      <c r="V50" s="91"/>
    </row>
    <row r="51" spans="1:22" s="85" customFormat="1" ht="14.25">
      <c r="A51" s="83">
        <v>330800</v>
      </c>
      <c r="B51" s="84">
        <v>6379.8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  <c r="S51" s="84">
        <v>0</v>
      </c>
      <c r="T51" s="84">
        <f t="shared" si="10"/>
        <v>6379.8</v>
      </c>
      <c r="U51" s="91"/>
      <c r="V51" s="91"/>
    </row>
    <row r="52" spans="1:22" s="85" customFormat="1" ht="14.25">
      <c r="A52" s="83">
        <v>331000</v>
      </c>
      <c r="B52" s="84">
        <v>0</v>
      </c>
      <c r="C52" s="84">
        <v>0</v>
      </c>
      <c r="D52" s="84">
        <v>0</v>
      </c>
      <c r="E52" s="84">
        <v>0</v>
      </c>
      <c r="F52" s="84">
        <v>0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84">
        <v>0</v>
      </c>
      <c r="T52" s="84">
        <f t="shared" si="10"/>
        <v>0</v>
      </c>
      <c r="U52" s="91"/>
      <c r="V52" s="91"/>
    </row>
    <row r="53" spans="1:22" s="85" customFormat="1" ht="14.25">
      <c r="A53" s="83">
        <v>331100</v>
      </c>
      <c r="B53" s="84">
        <v>0</v>
      </c>
      <c r="C53" s="84">
        <v>0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  <c r="S53" s="84">
        <v>0</v>
      </c>
      <c r="T53" s="84">
        <f t="shared" si="10"/>
        <v>0</v>
      </c>
      <c r="U53" s="91"/>
      <c r="V53" s="91"/>
    </row>
    <row r="54" spans="1:22" s="85" customFormat="1" ht="14.25">
      <c r="A54" s="83">
        <v>331400</v>
      </c>
      <c r="B54" s="84">
        <v>0</v>
      </c>
      <c r="C54" s="84">
        <v>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0</v>
      </c>
      <c r="S54" s="84">
        <v>0</v>
      </c>
      <c r="T54" s="84">
        <f t="shared" si="10"/>
        <v>0</v>
      </c>
      <c r="U54" s="91"/>
      <c r="V54" s="91"/>
    </row>
    <row r="55" spans="1:22" s="85" customFormat="1" ht="14.25">
      <c r="A55" s="86" t="s">
        <v>140</v>
      </c>
      <c r="B55" s="84">
        <f>SUM(B47:B54)</f>
        <v>6379.8</v>
      </c>
      <c r="C55" s="84">
        <f aca="true" t="shared" si="11" ref="C55:S55">SUM(C47:C54)</f>
        <v>0</v>
      </c>
      <c r="D55" s="84">
        <f t="shared" si="11"/>
        <v>0</v>
      </c>
      <c r="E55" s="84">
        <f t="shared" si="11"/>
        <v>0</v>
      </c>
      <c r="F55" s="84">
        <f t="shared" si="11"/>
        <v>0</v>
      </c>
      <c r="G55" s="84">
        <f t="shared" si="11"/>
        <v>668021.3</v>
      </c>
      <c r="H55" s="84">
        <f t="shared" si="11"/>
        <v>0</v>
      </c>
      <c r="I55" s="84">
        <f t="shared" si="11"/>
        <v>0</v>
      </c>
      <c r="J55" s="84">
        <f t="shared" si="11"/>
        <v>0</v>
      </c>
      <c r="K55" s="84">
        <f t="shared" si="11"/>
        <v>0</v>
      </c>
      <c r="L55" s="84">
        <f t="shared" si="11"/>
        <v>0</v>
      </c>
      <c r="M55" s="84">
        <f t="shared" si="11"/>
        <v>0</v>
      </c>
      <c r="N55" s="84">
        <f t="shared" si="11"/>
        <v>0</v>
      </c>
      <c r="O55" s="84">
        <f t="shared" si="11"/>
        <v>0</v>
      </c>
      <c r="P55" s="84">
        <f t="shared" si="11"/>
        <v>0</v>
      </c>
      <c r="Q55" s="84">
        <f t="shared" si="11"/>
        <v>0</v>
      </c>
      <c r="R55" s="84">
        <f t="shared" si="11"/>
        <v>0</v>
      </c>
      <c r="S55" s="84">
        <f t="shared" si="11"/>
        <v>0</v>
      </c>
      <c r="T55" s="84">
        <f>SUM(B55:S55)</f>
        <v>674401.1000000001</v>
      </c>
      <c r="U55" s="91"/>
      <c r="V55" s="91"/>
    </row>
    <row r="56" spans="1:22" s="85" customFormat="1" ht="14.25">
      <c r="A56" s="86" t="s">
        <v>141</v>
      </c>
      <c r="B56" s="84">
        <f>SUM(4500+18148+41900.4+5705.6+35610.8+6379.8)</f>
        <v>112244.6</v>
      </c>
      <c r="C56" s="84">
        <f>SUM(3820+15966+9900)</f>
        <v>29686</v>
      </c>
      <c r="D56" s="84">
        <v>0</v>
      </c>
      <c r="E56" s="84">
        <v>0</v>
      </c>
      <c r="F56" s="84">
        <f>SUM(6035+15377)</f>
        <v>21412</v>
      </c>
      <c r="G56" s="84">
        <f>SUM(668021.3)</f>
        <v>668021.3</v>
      </c>
      <c r="H56" s="84">
        <v>0</v>
      </c>
      <c r="I56" s="84">
        <v>0</v>
      </c>
      <c r="J56" s="84">
        <f>SUM(87585.54)</f>
        <v>87585.54</v>
      </c>
      <c r="K56" s="84">
        <v>0</v>
      </c>
      <c r="L56" s="84">
        <f>SUM(14700)</f>
        <v>14700</v>
      </c>
      <c r="M56" s="84">
        <v>0</v>
      </c>
      <c r="N56" s="84">
        <v>0</v>
      </c>
      <c r="O56" s="84">
        <v>0</v>
      </c>
      <c r="P56" s="84">
        <v>0</v>
      </c>
      <c r="Q56" s="84">
        <f>SUM(3550)</f>
        <v>3550</v>
      </c>
      <c r="R56" s="84">
        <v>0</v>
      </c>
      <c r="S56" s="84">
        <v>0</v>
      </c>
      <c r="T56" s="84">
        <f>SUM(B56:S56)</f>
        <v>937199.4400000001</v>
      </c>
      <c r="U56" s="91"/>
      <c r="V56" s="91"/>
    </row>
    <row r="57" spans="1:22" s="85" customFormat="1" ht="14.25">
      <c r="A57" s="195">
        <v>534000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91"/>
      <c r="V57" s="91"/>
    </row>
    <row r="58" spans="1:22" s="85" customFormat="1" ht="14.25">
      <c r="A58" s="83">
        <v>340100</v>
      </c>
      <c r="B58" s="84">
        <v>10985.09</v>
      </c>
      <c r="C58" s="84">
        <v>0</v>
      </c>
      <c r="D58" s="84">
        <v>0</v>
      </c>
      <c r="E58" s="84">
        <v>0</v>
      </c>
      <c r="F58" s="84">
        <v>0</v>
      </c>
      <c r="G58" s="84">
        <v>2621.5</v>
      </c>
      <c r="H58" s="84">
        <v>0</v>
      </c>
      <c r="I58" s="84">
        <v>0</v>
      </c>
      <c r="J58" s="84">
        <v>0</v>
      </c>
      <c r="K58" s="84">
        <v>0</v>
      </c>
      <c r="L58" s="84">
        <v>634.58</v>
      </c>
      <c r="M58" s="84">
        <v>0</v>
      </c>
      <c r="N58" s="84">
        <v>0</v>
      </c>
      <c r="O58" s="84">
        <v>0</v>
      </c>
      <c r="P58" s="84">
        <v>0</v>
      </c>
      <c r="Q58" s="84">
        <v>0</v>
      </c>
      <c r="R58" s="84">
        <v>0</v>
      </c>
      <c r="S58" s="84">
        <v>0</v>
      </c>
      <c r="T58" s="84">
        <f>SUM(B58:S58)</f>
        <v>14241.17</v>
      </c>
      <c r="U58" s="91"/>
      <c r="V58" s="91"/>
    </row>
    <row r="59" spans="1:22" s="85" customFormat="1" ht="14.25">
      <c r="A59" s="83">
        <v>340300</v>
      </c>
      <c r="B59" s="84">
        <v>331.17</v>
      </c>
      <c r="C59" s="84">
        <v>0</v>
      </c>
      <c r="D59" s="84">
        <v>0</v>
      </c>
      <c r="E59" s="84">
        <v>0</v>
      </c>
      <c r="F59" s="84">
        <v>0</v>
      </c>
      <c r="G59" s="84">
        <v>0</v>
      </c>
      <c r="H59" s="84">
        <v>0</v>
      </c>
      <c r="I59" s="84">
        <v>0</v>
      </c>
      <c r="J59" s="84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  <c r="Q59" s="84">
        <v>0</v>
      </c>
      <c r="R59" s="84">
        <v>0</v>
      </c>
      <c r="S59" s="84">
        <v>0</v>
      </c>
      <c r="T59" s="84">
        <f>SUM(B59:S59)</f>
        <v>331.17</v>
      </c>
      <c r="U59" s="91"/>
      <c r="V59" s="91"/>
    </row>
    <row r="60" spans="1:22" s="85" customFormat="1" ht="14.25">
      <c r="A60" s="83">
        <v>340400</v>
      </c>
      <c r="B60" s="84">
        <v>0</v>
      </c>
      <c r="C60" s="84">
        <v>0</v>
      </c>
      <c r="D60" s="84">
        <v>0</v>
      </c>
      <c r="E60" s="84">
        <v>0</v>
      </c>
      <c r="F60" s="84">
        <v>0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  <c r="L60" s="84">
        <v>0</v>
      </c>
      <c r="M60" s="84">
        <v>0</v>
      </c>
      <c r="N60" s="84">
        <v>0</v>
      </c>
      <c r="O60" s="84">
        <v>0</v>
      </c>
      <c r="P60" s="84">
        <v>0</v>
      </c>
      <c r="Q60" s="84">
        <v>0</v>
      </c>
      <c r="R60" s="84">
        <v>0</v>
      </c>
      <c r="S60" s="84">
        <v>0</v>
      </c>
      <c r="T60" s="84">
        <f>SUM(B60:S60)</f>
        <v>0</v>
      </c>
      <c r="U60" s="91"/>
      <c r="V60" s="91"/>
    </row>
    <row r="61" spans="1:22" s="85" customFormat="1" ht="14.25">
      <c r="A61" s="83">
        <v>340500</v>
      </c>
      <c r="B61" s="84">
        <v>8324.6</v>
      </c>
      <c r="C61" s="84">
        <v>0</v>
      </c>
      <c r="D61" s="84">
        <v>0</v>
      </c>
      <c r="E61" s="84">
        <v>0</v>
      </c>
      <c r="F61" s="84">
        <v>0</v>
      </c>
      <c r="G61" s="84">
        <v>0</v>
      </c>
      <c r="H61" s="84">
        <v>0</v>
      </c>
      <c r="I61" s="84">
        <v>0</v>
      </c>
      <c r="J61" s="84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0</v>
      </c>
      <c r="Q61" s="84">
        <v>0</v>
      </c>
      <c r="R61" s="84">
        <v>0</v>
      </c>
      <c r="S61" s="84">
        <v>0</v>
      </c>
      <c r="T61" s="84">
        <f>SUM(B61:S61)</f>
        <v>8324.6</v>
      </c>
      <c r="U61" s="91"/>
      <c r="V61" s="91"/>
    </row>
    <row r="62" spans="1:22" s="85" customFormat="1" ht="14.25">
      <c r="A62" s="86" t="s">
        <v>140</v>
      </c>
      <c r="B62" s="84">
        <f>SUM(B58:B61)</f>
        <v>19640.86</v>
      </c>
      <c r="C62" s="84">
        <f aca="true" t="shared" si="12" ref="C62:S62">SUM(C58:C61)</f>
        <v>0</v>
      </c>
      <c r="D62" s="84">
        <f t="shared" si="12"/>
        <v>0</v>
      </c>
      <c r="E62" s="84">
        <f t="shared" si="12"/>
        <v>0</v>
      </c>
      <c r="F62" s="84">
        <f t="shared" si="12"/>
        <v>0</v>
      </c>
      <c r="G62" s="84">
        <f t="shared" si="12"/>
        <v>2621.5</v>
      </c>
      <c r="H62" s="84">
        <f t="shared" si="12"/>
        <v>0</v>
      </c>
      <c r="I62" s="84">
        <f t="shared" si="12"/>
        <v>0</v>
      </c>
      <c r="J62" s="84">
        <f t="shared" si="12"/>
        <v>0</v>
      </c>
      <c r="K62" s="84">
        <f t="shared" si="12"/>
        <v>0</v>
      </c>
      <c r="L62" s="84">
        <f t="shared" si="12"/>
        <v>634.58</v>
      </c>
      <c r="M62" s="84">
        <f t="shared" si="12"/>
        <v>0</v>
      </c>
      <c r="N62" s="84">
        <f t="shared" si="12"/>
        <v>0</v>
      </c>
      <c r="O62" s="84">
        <f t="shared" si="12"/>
        <v>0</v>
      </c>
      <c r="P62" s="84">
        <f t="shared" si="12"/>
        <v>0</v>
      </c>
      <c r="Q62" s="84">
        <f t="shared" si="12"/>
        <v>0</v>
      </c>
      <c r="R62" s="84">
        <f t="shared" si="12"/>
        <v>0</v>
      </c>
      <c r="S62" s="84">
        <f t="shared" si="12"/>
        <v>0</v>
      </c>
      <c r="T62" s="84">
        <f>SUM(B62:S62)</f>
        <v>22896.940000000002</v>
      </c>
      <c r="U62" s="91"/>
      <c r="V62" s="91"/>
    </row>
    <row r="63" spans="1:22" s="85" customFormat="1" ht="14.25">
      <c r="A63" s="86" t="s">
        <v>141</v>
      </c>
      <c r="B63" s="84">
        <f>SUM(32154.13+18248.85+15672.55+13585.44+15075.65+19640.86)</f>
        <v>114377.48</v>
      </c>
      <c r="C63" s="84">
        <f>SUM(980+1645)</f>
        <v>2625</v>
      </c>
      <c r="D63" s="84">
        <v>0</v>
      </c>
      <c r="E63" s="84">
        <v>0</v>
      </c>
      <c r="F63" s="84">
        <v>0</v>
      </c>
      <c r="G63" s="84">
        <f>SUM(2621.5)</f>
        <v>2621.5</v>
      </c>
      <c r="H63" s="84">
        <v>0</v>
      </c>
      <c r="I63" s="84">
        <v>0</v>
      </c>
      <c r="J63" s="84">
        <v>0</v>
      </c>
      <c r="K63" s="84">
        <v>0</v>
      </c>
      <c r="L63" s="84">
        <f>SUM(1422.05+1225.31+895.87+921.57+791.97+634.58)</f>
        <v>5891.349999999999</v>
      </c>
      <c r="M63" s="84">
        <v>0</v>
      </c>
      <c r="N63" s="84">
        <v>0</v>
      </c>
      <c r="O63" s="84">
        <v>0</v>
      </c>
      <c r="P63" s="84">
        <v>0</v>
      </c>
      <c r="Q63" s="84">
        <v>0</v>
      </c>
      <c r="R63" s="84">
        <v>0</v>
      </c>
      <c r="S63" s="84">
        <v>0</v>
      </c>
      <c r="T63" s="84">
        <f>SUM(B63:S63)</f>
        <v>125515.33</v>
      </c>
      <c r="U63" s="91"/>
      <c r="V63" s="91"/>
    </row>
    <row r="64" spans="1:22" s="85" customFormat="1" ht="14.25">
      <c r="A64" s="195">
        <v>541000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91"/>
      <c r="V64" s="91"/>
    </row>
    <row r="65" spans="1:22" s="85" customFormat="1" ht="14.25">
      <c r="A65" s="83">
        <v>410100</v>
      </c>
      <c r="B65" s="84">
        <v>48200</v>
      </c>
      <c r="C65" s="84">
        <v>0</v>
      </c>
      <c r="D65" s="84">
        <v>0</v>
      </c>
      <c r="E65" s="84">
        <v>0</v>
      </c>
      <c r="F65" s="84">
        <v>28800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0</v>
      </c>
      <c r="Q65" s="84">
        <v>9500</v>
      </c>
      <c r="R65" s="84">
        <v>0</v>
      </c>
      <c r="S65" s="84">
        <v>0</v>
      </c>
      <c r="T65" s="84">
        <f aca="true" t="shared" si="13" ref="T65:T70">SUM(B65:S65)</f>
        <v>86500</v>
      </c>
      <c r="U65" s="91"/>
      <c r="V65" s="91"/>
    </row>
    <row r="66" spans="1:22" s="85" customFormat="1" ht="14.25">
      <c r="A66" s="83">
        <v>410300</v>
      </c>
      <c r="B66" s="84">
        <v>0</v>
      </c>
      <c r="C66" s="84">
        <v>0</v>
      </c>
      <c r="D66" s="84">
        <v>0</v>
      </c>
      <c r="E66" s="84">
        <v>0</v>
      </c>
      <c r="F66" s="84">
        <v>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0</v>
      </c>
      <c r="Q66" s="84">
        <v>0</v>
      </c>
      <c r="R66" s="84">
        <v>0</v>
      </c>
      <c r="S66" s="84">
        <v>0</v>
      </c>
      <c r="T66" s="84">
        <f t="shared" si="13"/>
        <v>0</v>
      </c>
      <c r="U66" s="91"/>
      <c r="V66" s="91"/>
    </row>
    <row r="67" spans="1:22" s="85" customFormat="1" ht="14.25">
      <c r="A67" s="83">
        <v>410700</v>
      </c>
      <c r="B67" s="84">
        <v>0</v>
      </c>
      <c r="C67" s="84">
        <v>0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4">
        <v>0</v>
      </c>
      <c r="S67" s="84">
        <v>0</v>
      </c>
      <c r="T67" s="84">
        <f t="shared" si="13"/>
        <v>0</v>
      </c>
      <c r="U67" s="91"/>
      <c r="V67" s="91"/>
    </row>
    <row r="68" spans="1:22" s="85" customFormat="1" ht="14.25">
      <c r="A68" s="83">
        <v>410900</v>
      </c>
      <c r="B68" s="84">
        <v>0</v>
      </c>
      <c r="C68" s="84">
        <v>0</v>
      </c>
      <c r="D68" s="84">
        <v>0</v>
      </c>
      <c r="E68" s="84">
        <v>0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0</v>
      </c>
      <c r="R68" s="84">
        <v>0</v>
      </c>
      <c r="S68" s="84">
        <v>0</v>
      </c>
      <c r="T68" s="84">
        <f t="shared" si="13"/>
        <v>0</v>
      </c>
      <c r="U68" s="91"/>
      <c r="V68" s="91"/>
    </row>
    <row r="69" spans="1:22" s="85" customFormat="1" ht="14.25">
      <c r="A69" s="83">
        <v>411300</v>
      </c>
      <c r="B69" s="84">
        <v>0</v>
      </c>
      <c r="C69" s="84">
        <v>0</v>
      </c>
      <c r="D69" s="84">
        <v>0</v>
      </c>
      <c r="E69" s="84">
        <v>0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0</v>
      </c>
      <c r="Q69" s="84">
        <v>0</v>
      </c>
      <c r="R69" s="84">
        <v>0</v>
      </c>
      <c r="S69" s="84">
        <v>0</v>
      </c>
      <c r="T69" s="84">
        <f t="shared" si="13"/>
        <v>0</v>
      </c>
      <c r="U69" s="91"/>
      <c r="V69" s="91"/>
    </row>
    <row r="70" spans="1:22" s="85" customFormat="1" ht="14.25">
      <c r="A70" s="83">
        <v>411600</v>
      </c>
      <c r="B70" s="84">
        <v>0</v>
      </c>
      <c r="C70" s="84">
        <v>0</v>
      </c>
      <c r="D70" s="84">
        <v>0</v>
      </c>
      <c r="E70" s="84">
        <v>0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  <c r="P70" s="84">
        <v>0</v>
      </c>
      <c r="Q70" s="84">
        <v>0</v>
      </c>
      <c r="R70" s="84">
        <v>0</v>
      </c>
      <c r="S70" s="84">
        <v>0</v>
      </c>
      <c r="T70" s="84">
        <f t="shared" si="13"/>
        <v>0</v>
      </c>
      <c r="U70" s="91"/>
      <c r="V70" s="91"/>
    </row>
    <row r="71" spans="1:22" s="85" customFormat="1" ht="14.25">
      <c r="A71" s="86" t="s">
        <v>140</v>
      </c>
      <c r="B71" s="84">
        <f>SUM(B65:B70)</f>
        <v>48200</v>
      </c>
      <c r="C71" s="84">
        <f aca="true" t="shared" si="14" ref="C71:S71">SUM(C65:C70)</f>
        <v>0</v>
      </c>
      <c r="D71" s="84">
        <f t="shared" si="14"/>
        <v>0</v>
      </c>
      <c r="E71" s="84">
        <f t="shared" si="14"/>
        <v>0</v>
      </c>
      <c r="F71" s="84">
        <f t="shared" si="14"/>
        <v>28800</v>
      </c>
      <c r="G71" s="84">
        <f t="shared" si="14"/>
        <v>0</v>
      </c>
      <c r="H71" s="84">
        <f t="shared" si="14"/>
        <v>0</v>
      </c>
      <c r="I71" s="84">
        <f t="shared" si="14"/>
        <v>0</v>
      </c>
      <c r="J71" s="84">
        <f t="shared" si="14"/>
        <v>0</v>
      </c>
      <c r="K71" s="84">
        <f t="shared" si="14"/>
        <v>0</v>
      </c>
      <c r="L71" s="84">
        <f t="shared" si="14"/>
        <v>0</v>
      </c>
      <c r="M71" s="84">
        <f t="shared" si="14"/>
        <v>0</v>
      </c>
      <c r="N71" s="84">
        <f t="shared" si="14"/>
        <v>0</v>
      </c>
      <c r="O71" s="84">
        <f t="shared" si="14"/>
        <v>0</v>
      </c>
      <c r="P71" s="84">
        <f t="shared" si="14"/>
        <v>0</v>
      </c>
      <c r="Q71" s="84">
        <f t="shared" si="14"/>
        <v>9500</v>
      </c>
      <c r="R71" s="84">
        <f t="shared" si="14"/>
        <v>0</v>
      </c>
      <c r="S71" s="84">
        <f t="shared" si="14"/>
        <v>0</v>
      </c>
      <c r="T71" s="84">
        <f>SUM(B71:S71)</f>
        <v>86500</v>
      </c>
      <c r="U71" s="91"/>
      <c r="V71" s="91"/>
    </row>
    <row r="72" spans="1:22" s="85" customFormat="1" ht="14.25">
      <c r="A72" s="86" t="s">
        <v>141</v>
      </c>
      <c r="B72" s="84">
        <f>SUM(26500+48200)</f>
        <v>74700</v>
      </c>
      <c r="C72" s="84">
        <v>0</v>
      </c>
      <c r="D72" s="84">
        <v>0</v>
      </c>
      <c r="E72" s="84">
        <v>0</v>
      </c>
      <c r="F72" s="84">
        <f>SUM(28800)</f>
        <v>28800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0</v>
      </c>
      <c r="Q72" s="84">
        <f>SUM(9500)</f>
        <v>9500</v>
      </c>
      <c r="R72" s="84">
        <v>0</v>
      </c>
      <c r="S72" s="84">
        <v>0</v>
      </c>
      <c r="T72" s="84">
        <f>SUM(B72:S72)</f>
        <v>113000</v>
      </c>
      <c r="U72" s="91"/>
      <c r="V72" s="91"/>
    </row>
    <row r="73" spans="1:22" s="85" customFormat="1" ht="14.25">
      <c r="A73" s="87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91"/>
      <c r="V73" s="91"/>
    </row>
    <row r="74" spans="1:22" s="85" customFormat="1" ht="14.25">
      <c r="A74" s="87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91"/>
      <c r="V74" s="91"/>
    </row>
    <row r="75" spans="1:22" s="85" customFormat="1" ht="14.25">
      <c r="A75" s="195">
        <v>542000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91"/>
      <c r="V75" s="91"/>
    </row>
    <row r="76" spans="1:22" s="85" customFormat="1" ht="14.25">
      <c r="A76" s="83">
        <v>420900</v>
      </c>
      <c r="B76" s="84">
        <v>0</v>
      </c>
      <c r="C76" s="84">
        <v>0</v>
      </c>
      <c r="D76" s="84">
        <v>0</v>
      </c>
      <c r="E76" s="84">
        <v>0</v>
      </c>
      <c r="F76" s="84">
        <v>0</v>
      </c>
      <c r="G76" s="84">
        <v>0</v>
      </c>
      <c r="H76" s="84">
        <v>0</v>
      </c>
      <c r="I76" s="84">
        <v>0</v>
      </c>
      <c r="J76" s="84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0</v>
      </c>
      <c r="Q76" s="84">
        <v>0</v>
      </c>
      <c r="R76" s="84">
        <v>0</v>
      </c>
      <c r="S76" s="84">
        <v>0</v>
      </c>
      <c r="T76" s="84">
        <f>SUM(B76:S76)</f>
        <v>0</v>
      </c>
      <c r="U76" s="91"/>
      <c r="V76" s="91"/>
    </row>
    <row r="77" spans="1:22" s="85" customFormat="1" ht="14.25">
      <c r="A77" s="83">
        <v>421000</v>
      </c>
      <c r="B77" s="84">
        <v>0</v>
      </c>
      <c r="C77" s="84">
        <v>0</v>
      </c>
      <c r="D77" s="84">
        <v>0</v>
      </c>
      <c r="E77" s="84">
        <v>0</v>
      </c>
      <c r="F77" s="84">
        <v>0</v>
      </c>
      <c r="G77" s="84">
        <v>0</v>
      </c>
      <c r="H77" s="84">
        <v>0</v>
      </c>
      <c r="I77" s="84">
        <v>0</v>
      </c>
      <c r="J77" s="84">
        <v>0</v>
      </c>
      <c r="K77" s="220">
        <v>98000</v>
      </c>
      <c r="L77" s="84">
        <v>0</v>
      </c>
      <c r="M77" s="84">
        <v>0</v>
      </c>
      <c r="N77" s="84">
        <v>0</v>
      </c>
      <c r="O77" s="84">
        <v>0</v>
      </c>
      <c r="P77" s="84">
        <f>SUM(40200+34400)</f>
        <v>74600</v>
      </c>
      <c r="Q77" s="84">
        <v>0</v>
      </c>
      <c r="R77" s="84">
        <v>0</v>
      </c>
      <c r="S77" s="84">
        <v>0</v>
      </c>
      <c r="T77" s="84">
        <f>SUM(B77:S77)</f>
        <v>172600</v>
      </c>
      <c r="U77" s="91"/>
      <c r="V77" s="91"/>
    </row>
    <row r="78" spans="1:22" s="85" customFormat="1" ht="14.25">
      <c r="A78" s="86" t="s">
        <v>140</v>
      </c>
      <c r="B78" s="84">
        <f>SUM(B76:B77)</f>
        <v>0</v>
      </c>
      <c r="C78" s="84">
        <f aca="true" t="shared" si="15" ref="C78:S78">SUM(C76:C77)</f>
        <v>0</v>
      </c>
      <c r="D78" s="84">
        <f t="shared" si="15"/>
        <v>0</v>
      </c>
      <c r="E78" s="84">
        <f t="shared" si="15"/>
        <v>0</v>
      </c>
      <c r="F78" s="84">
        <f t="shared" si="15"/>
        <v>0</v>
      </c>
      <c r="G78" s="84">
        <f t="shared" si="15"/>
        <v>0</v>
      </c>
      <c r="H78" s="84">
        <f t="shared" si="15"/>
        <v>0</v>
      </c>
      <c r="I78" s="84">
        <f t="shared" si="15"/>
        <v>0</v>
      </c>
      <c r="J78" s="84">
        <f t="shared" si="15"/>
        <v>0</v>
      </c>
      <c r="K78" s="220">
        <f t="shared" si="15"/>
        <v>98000</v>
      </c>
      <c r="L78" s="84">
        <f t="shared" si="15"/>
        <v>0</v>
      </c>
      <c r="M78" s="84">
        <f t="shared" si="15"/>
        <v>0</v>
      </c>
      <c r="N78" s="84">
        <f t="shared" si="15"/>
        <v>0</v>
      </c>
      <c r="O78" s="84">
        <f t="shared" si="15"/>
        <v>0</v>
      </c>
      <c r="P78" s="84">
        <f t="shared" si="15"/>
        <v>74600</v>
      </c>
      <c r="Q78" s="84">
        <f t="shared" si="15"/>
        <v>0</v>
      </c>
      <c r="R78" s="84">
        <f t="shared" si="15"/>
        <v>0</v>
      </c>
      <c r="S78" s="84">
        <f t="shared" si="15"/>
        <v>0</v>
      </c>
      <c r="T78" s="84">
        <f>SUM(B78:S78)</f>
        <v>172600</v>
      </c>
      <c r="U78" s="91"/>
      <c r="V78" s="91"/>
    </row>
    <row r="79" spans="1:22" s="85" customFormat="1" ht="14.25">
      <c r="A79" s="86" t="s">
        <v>141</v>
      </c>
      <c r="B79" s="84">
        <v>0</v>
      </c>
      <c r="C79" s="84">
        <v>0</v>
      </c>
      <c r="D79" s="84">
        <v>0</v>
      </c>
      <c r="E79" s="84">
        <v>0</v>
      </c>
      <c r="F79" s="84">
        <v>0</v>
      </c>
      <c r="G79" s="84">
        <v>0</v>
      </c>
      <c r="H79" s="84">
        <v>0</v>
      </c>
      <c r="I79" s="84">
        <v>0</v>
      </c>
      <c r="J79" s="84">
        <v>0</v>
      </c>
      <c r="K79" s="220">
        <f>SUM(98000)</f>
        <v>98000</v>
      </c>
      <c r="L79" s="84">
        <f>SUM(0)</f>
        <v>0</v>
      </c>
      <c r="M79" s="84">
        <v>0</v>
      </c>
      <c r="N79" s="84">
        <v>0</v>
      </c>
      <c r="O79" s="84">
        <v>0</v>
      </c>
      <c r="P79" s="84">
        <f>SUM(74600)</f>
        <v>74600</v>
      </c>
      <c r="Q79" s="84">
        <v>0</v>
      </c>
      <c r="R79" s="84">
        <v>0</v>
      </c>
      <c r="S79" s="84">
        <v>0</v>
      </c>
      <c r="T79" s="84">
        <f>SUM(B79:S79)</f>
        <v>172600</v>
      </c>
      <c r="U79" s="91"/>
      <c r="V79" s="91"/>
    </row>
    <row r="80" spans="1:22" s="85" customFormat="1" ht="14.25">
      <c r="A80" s="196">
        <v>550000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91"/>
      <c r="V80" s="91"/>
    </row>
    <row r="81" spans="1:22" s="85" customFormat="1" ht="14.25">
      <c r="A81" s="89">
        <v>510100</v>
      </c>
      <c r="B81" s="84">
        <v>0</v>
      </c>
      <c r="C81" s="84">
        <v>0</v>
      </c>
      <c r="D81" s="84">
        <v>0</v>
      </c>
      <c r="E81" s="84">
        <v>0</v>
      </c>
      <c r="F81" s="84">
        <v>0</v>
      </c>
      <c r="G81" s="84">
        <v>0</v>
      </c>
      <c r="H81" s="84">
        <v>0</v>
      </c>
      <c r="I81" s="84">
        <v>0</v>
      </c>
      <c r="J81" s="84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0</v>
      </c>
      <c r="Q81" s="84">
        <v>0</v>
      </c>
      <c r="R81" s="84">
        <v>0</v>
      </c>
      <c r="S81" s="84">
        <v>0</v>
      </c>
      <c r="T81" s="84">
        <f>SUM(B81:S81)</f>
        <v>0</v>
      </c>
      <c r="U81" s="91"/>
      <c r="V81" s="91"/>
    </row>
    <row r="82" spans="1:22" s="85" customFormat="1" ht="14.25">
      <c r="A82" s="86" t="s">
        <v>140</v>
      </c>
      <c r="B82" s="84">
        <f>SUM(B81)</f>
        <v>0</v>
      </c>
      <c r="C82" s="84">
        <f aca="true" t="shared" si="16" ref="C82:S82">SUM(C81)</f>
        <v>0</v>
      </c>
      <c r="D82" s="84">
        <f t="shared" si="16"/>
        <v>0</v>
      </c>
      <c r="E82" s="84">
        <f t="shared" si="16"/>
        <v>0</v>
      </c>
      <c r="F82" s="84">
        <f t="shared" si="16"/>
        <v>0</v>
      </c>
      <c r="G82" s="84">
        <f t="shared" si="16"/>
        <v>0</v>
      </c>
      <c r="H82" s="84">
        <f t="shared" si="16"/>
        <v>0</v>
      </c>
      <c r="I82" s="84">
        <f t="shared" si="16"/>
        <v>0</v>
      </c>
      <c r="J82" s="84">
        <f t="shared" si="16"/>
        <v>0</v>
      </c>
      <c r="K82" s="84">
        <f t="shared" si="16"/>
        <v>0</v>
      </c>
      <c r="L82" s="84">
        <f t="shared" si="16"/>
        <v>0</v>
      </c>
      <c r="M82" s="84">
        <f t="shared" si="16"/>
        <v>0</v>
      </c>
      <c r="N82" s="84">
        <f t="shared" si="16"/>
        <v>0</v>
      </c>
      <c r="O82" s="84">
        <f t="shared" si="16"/>
        <v>0</v>
      </c>
      <c r="P82" s="84">
        <f t="shared" si="16"/>
        <v>0</v>
      </c>
      <c r="Q82" s="84">
        <f t="shared" si="16"/>
        <v>0</v>
      </c>
      <c r="R82" s="84">
        <f t="shared" si="16"/>
        <v>0</v>
      </c>
      <c r="S82" s="84">
        <f t="shared" si="16"/>
        <v>0</v>
      </c>
      <c r="T82" s="84">
        <f>SUM(B82:S82)</f>
        <v>0</v>
      </c>
      <c r="U82" s="91"/>
      <c r="V82" s="91"/>
    </row>
    <row r="83" spans="1:22" s="85" customFormat="1" ht="14.25">
      <c r="A83" s="86" t="s">
        <v>141</v>
      </c>
      <c r="B83" s="84">
        <v>0</v>
      </c>
      <c r="C83" s="84">
        <v>0</v>
      </c>
      <c r="D83" s="84">
        <v>0</v>
      </c>
      <c r="E83" s="84">
        <v>0</v>
      </c>
      <c r="F83" s="84">
        <v>0</v>
      </c>
      <c r="G83" s="84">
        <v>0</v>
      </c>
      <c r="H83" s="84">
        <v>0</v>
      </c>
      <c r="I83" s="84">
        <v>0</v>
      </c>
      <c r="J83" s="84">
        <v>0</v>
      </c>
      <c r="K83" s="84">
        <v>0</v>
      </c>
      <c r="L83" s="84">
        <f>SUM(0)</f>
        <v>0</v>
      </c>
      <c r="M83" s="84">
        <v>0</v>
      </c>
      <c r="N83" s="84">
        <v>0</v>
      </c>
      <c r="O83" s="84">
        <v>0</v>
      </c>
      <c r="P83" s="84">
        <v>0</v>
      </c>
      <c r="Q83" s="84">
        <v>0</v>
      </c>
      <c r="R83" s="84">
        <v>0</v>
      </c>
      <c r="S83" s="84">
        <v>0</v>
      </c>
      <c r="T83" s="84">
        <f>SUM(B83:S83)</f>
        <v>0</v>
      </c>
      <c r="U83" s="91"/>
      <c r="V83" s="91"/>
    </row>
    <row r="84" spans="1:22" s="85" customFormat="1" ht="14.25">
      <c r="A84" s="195">
        <v>560000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91"/>
      <c r="V84" s="91"/>
    </row>
    <row r="85" spans="1:22" s="85" customFormat="1" ht="14.25">
      <c r="A85" s="83">
        <v>610100</v>
      </c>
      <c r="B85" s="84">
        <v>0</v>
      </c>
      <c r="C85" s="84">
        <v>0</v>
      </c>
      <c r="D85" s="84">
        <v>0</v>
      </c>
      <c r="E85" s="84">
        <v>0</v>
      </c>
      <c r="F85" s="84">
        <v>0</v>
      </c>
      <c r="G85" s="84">
        <v>0</v>
      </c>
      <c r="H85" s="84">
        <v>0</v>
      </c>
      <c r="I85" s="84">
        <v>0</v>
      </c>
      <c r="J85" s="84">
        <v>0</v>
      </c>
      <c r="K85" s="84">
        <v>0</v>
      </c>
      <c r="L85" s="84">
        <v>0</v>
      </c>
      <c r="M85" s="84">
        <v>0</v>
      </c>
      <c r="N85" s="84">
        <v>0</v>
      </c>
      <c r="O85" s="84">
        <v>0</v>
      </c>
      <c r="P85" s="84">
        <v>0</v>
      </c>
      <c r="Q85" s="84">
        <v>0</v>
      </c>
      <c r="R85" s="84">
        <v>0</v>
      </c>
      <c r="S85" s="84">
        <v>0</v>
      </c>
      <c r="T85" s="84">
        <f>SUM(B85:S85)</f>
        <v>0</v>
      </c>
      <c r="U85" s="91"/>
      <c r="V85" s="91"/>
    </row>
    <row r="86" spans="1:22" s="85" customFormat="1" ht="14.25">
      <c r="A86" s="83">
        <v>610200</v>
      </c>
      <c r="B86" s="84">
        <v>0</v>
      </c>
      <c r="C86" s="84">
        <v>0</v>
      </c>
      <c r="D86" s="84">
        <v>0</v>
      </c>
      <c r="E86" s="220">
        <v>0</v>
      </c>
      <c r="F86" s="84">
        <v>0</v>
      </c>
      <c r="G86" s="220">
        <v>0</v>
      </c>
      <c r="H86" s="84">
        <v>150000</v>
      </c>
      <c r="I86" s="84">
        <v>0</v>
      </c>
      <c r="J86" s="84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0</v>
      </c>
      <c r="Q86" s="84">
        <v>0</v>
      </c>
      <c r="R86" s="84">
        <v>0</v>
      </c>
      <c r="S86" s="84">
        <v>0</v>
      </c>
      <c r="T86" s="84">
        <f>SUM(B86:S86)</f>
        <v>150000</v>
      </c>
      <c r="U86" s="91"/>
      <c r="V86" s="91"/>
    </row>
    <row r="87" spans="1:22" s="85" customFormat="1" ht="14.25">
      <c r="A87" s="83">
        <v>610400</v>
      </c>
      <c r="B87" s="84">
        <v>0</v>
      </c>
      <c r="C87" s="84">
        <v>0</v>
      </c>
      <c r="D87" s="84">
        <v>0</v>
      </c>
      <c r="E87" s="220">
        <v>0</v>
      </c>
      <c r="F87" s="84">
        <v>0</v>
      </c>
      <c r="G87" s="220">
        <v>0</v>
      </c>
      <c r="H87" s="84">
        <v>0</v>
      </c>
      <c r="I87" s="84">
        <v>0</v>
      </c>
      <c r="J87" s="84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0</v>
      </c>
      <c r="Q87" s="84">
        <v>0</v>
      </c>
      <c r="R87" s="84">
        <v>0</v>
      </c>
      <c r="S87" s="84">
        <v>0</v>
      </c>
      <c r="T87" s="84">
        <f>SUM(B87:S87)</f>
        <v>0</v>
      </c>
      <c r="U87" s="91"/>
      <c r="V87" s="91"/>
    </row>
    <row r="88" spans="1:22" s="85" customFormat="1" ht="14.25">
      <c r="A88" s="86" t="s">
        <v>140</v>
      </c>
      <c r="B88" s="84">
        <f>SUM(B85:B87)</f>
        <v>0</v>
      </c>
      <c r="C88" s="84">
        <f aca="true" t="shared" si="17" ref="C88:S88">SUM(C85:C87)</f>
        <v>0</v>
      </c>
      <c r="D88" s="84">
        <f t="shared" si="17"/>
        <v>0</v>
      </c>
      <c r="E88" s="220">
        <f t="shared" si="17"/>
        <v>0</v>
      </c>
      <c r="F88" s="84">
        <f t="shared" si="17"/>
        <v>0</v>
      </c>
      <c r="G88" s="220">
        <f t="shared" si="17"/>
        <v>0</v>
      </c>
      <c r="H88" s="84">
        <f t="shared" si="17"/>
        <v>150000</v>
      </c>
      <c r="I88" s="84">
        <f t="shared" si="17"/>
        <v>0</v>
      </c>
      <c r="J88" s="84">
        <f t="shared" si="17"/>
        <v>0</v>
      </c>
      <c r="K88" s="84">
        <f t="shared" si="17"/>
        <v>0</v>
      </c>
      <c r="L88" s="84">
        <f t="shared" si="17"/>
        <v>0</v>
      </c>
      <c r="M88" s="84">
        <f t="shared" si="17"/>
        <v>0</v>
      </c>
      <c r="N88" s="84">
        <f t="shared" si="17"/>
        <v>0</v>
      </c>
      <c r="O88" s="84">
        <f t="shared" si="17"/>
        <v>0</v>
      </c>
      <c r="P88" s="84">
        <f t="shared" si="17"/>
        <v>0</v>
      </c>
      <c r="Q88" s="84">
        <f t="shared" si="17"/>
        <v>0</v>
      </c>
      <c r="R88" s="84">
        <f t="shared" si="17"/>
        <v>0</v>
      </c>
      <c r="S88" s="84">
        <f t="shared" si="17"/>
        <v>0</v>
      </c>
      <c r="T88" s="84">
        <f>SUM(B88:S88)</f>
        <v>150000</v>
      </c>
      <c r="U88" s="91"/>
      <c r="V88" s="91"/>
    </row>
    <row r="89" spans="1:22" s="85" customFormat="1" ht="14.25">
      <c r="A89" s="86" t="s">
        <v>141</v>
      </c>
      <c r="B89" s="84">
        <f>SUM(5000+10000)</f>
        <v>15000</v>
      </c>
      <c r="C89" s="84">
        <v>0</v>
      </c>
      <c r="D89" s="84">
        <v>0</v>
      </c>
      <c r="E89" s="220">
        <f>SUM(15000)</f>
        <v>15000</v>
      </c>
      <c r="F89" s="84">
        <v>0</v>
      </c>
      <c r="G89" s="220">
        <f>SUM(1346000)</f>
        <v>1346000</v>
      </c>
      <c r="H89" s="84">
        <f>SUM(150000)</f>
        <v>150000</v>
      </c>
      <c r="I89" s="84">
        <v>0</v>
      </c>
      <c r="J89" s="84">
        <v>0</v>
      </c>
      <c r="K89" s="84">
        <v>0</v>
      </c>
      <c r="L89" s="84">
        <f>SUM(0)</f>
        <v>0</v>
      </c>
      <c r="M89" s="84">
        <f>SUM(10000)</f>
        <v>10000</v>
      </c>
      <c r="N89" s="84">
        <f>SUM(30000)</f>
        <v>30000</v>
      </c>
      <c r="O89" s="84">
        <f>SUM(30000+10000)</f>
        <v>40000</v>
      </c>
      <c r="P89" s="84">
        <v>0</v>
      </c>
      <c r="Q89" s="84">
        <v>0</v>
      </c>
      <c r="R89" s="84">
        <v>0</v>
      </c>
      <c r="S89" s="84">
        <v>0</v>
      </c>
      <c r="T89" s="84">
        <f>SUM(B89:S89)</f>
        <v>1606000</v>
      </c>
      <c r="U89" s="91"/>
      <c r="V89" s="91"/>
    </row>
    <row r="90" spans="1:22" s="85" customFormat="1" ht="14.25">
      <c r="A90" s="86" t="s">
        <v>140</v>
      </c>
      <c r="B90" s="84">
        <f>SUM(B88+B82+B82+B78+B71+B62+B55+B44+B37+B30+B20+B12)</f>
        <v>460616.54000000004</v>
      </c>
      <c r="C90" s="84">
        <f aca="true" t="shared" si="18" ref="C90:S90">SUM(C88+C82+C82+C78+C71+C62+C55+C44+C37+C30+C20+C12)</f>
        <v>107225</v>
      </c>
      <c r="D90" s="84">
        <f t="shared" si="18"/>
        <v>0</v>
      </c>
      <c r="E90" s="220">
        <f t="shared" si="18"/>
        <v>71400</v>
      </c>
      <c r="F90" s="84">
        <f t="shared" si="18"/>
        <v>124770</v>
      </c>
      <c r="G90" s="220">
        <f t="shared" si="18"/>
        <v>839418.8</v>
      </c>
      <c r="H90" s="84">
        <f t="shared" si="18"/>
        <v>150000</v>
      </c>
      <c r="I90" s="84">
        <f t="shared" si="18"/>
        <v>85000</v>
      </c>
      <c r="J90" s="84">
        <f t="shared" si="18"/>
        <v>41470</v>
      </c>
      <c r="K90" s="221">
        <f t="shared" si="18"/>
        <v>170695</v>
      </c>
      <c r="L90" s="84">
        <f t="shared" si="18"/>
        <v>17944.58</v>
      </c>
      <c r="M90" s="84">
        <f t="shared" si="18"/>
        <v>0</v>
      </c>
      <c r="N90" s="84">
        <f t="shared" si="18"/>
        <v>41320</v>
      </c>
      <c r="O90" s="220">
        <f t="shared" si="18"/>
        <v>0</v>
      </c>
      <c r="P90" s="84">
        <f t="shared" si="18"/>
        <v>74600</v>
      </c>
      <c r="Q90" s="84">
        <f t="shared" si="18"/>
        <v>33690</v>
      </c>
      <c r="R90" s="84">
        <f t="shared" si="18"/>
        <v>0</v>
      </c>
      <c r="S90" s="84">
        <f t="shared" si="18"/>
        <v>8700</v>
      </c>
      <c r="T90" s="84">
        <f>SUM(B90:S90)</f>
        <v>2226849.92</v>
      </c>
      <c r="U90" s="91"/>
      <c r="V90" s="91"/>
    </row>
    <row r="91" spans="1:22" s="85" customFormat="1" ht="14.25">
      <c r="A91" s="86" t="s">
        <v>141</v>
      </c>
      <c r="B91" s="220">
        <f>SUM(B89+B83+B83+B79+B72+B63+B56+B45+B38+B31+B21+B13)</f>
        <v>2946342.6500000004</v>
      </c>
      <c r="C91" s="84">
        <f aca="true" t="shared" si="19" ref="C91:S91">SUM(C89+C83+C83+C79+C72+C63+C56+C45+C38+C31+C21+C13)</f>
        <v>778724.19</v>
      </c>
      <c r="D91" s="84">
        <f t="shared" si="19"/>
        <v>0</v>
      </c>
      <c r="E91" s="221">
        <f t="shared" si="19"/>
        <v>189600</v>
      </c>
      <c r="F91" s="84">
        <f t="shared" si="19"/>
        <v>440343.67</v>
      </c>
      <c r="G91" s="220">
        <f t="shared" si="19"/>
        <v>2395922.8</v>
      </c>
      <c r="H91" s="84">
        <f t="shared" si="19"/>
        <v>150000</v>
      </c>
      <c r="I91" s="84">
        <f t="shared" si="19"/>
        <v>157000</v>
      </c>
      <c r="J91" s="84">
        <f t="shared" si="19"/>
        <v>391752.20999999996</v>
      </c>
      <c r="K91" s="221">
        <f t="shared" si="19"/>
        <v>170695</v>
      </c>
      <c r="L91" s="220">
        <f t="shared" si="19"/>
        <v>188881.58</v>
      </c>
      <c r="M91" s="84">
        <f t="shared" si="19"/>
        <v>10000</v>
      </c>
      <c r="N91" s="84">
        <f t="shared" si="19"/>
        <v>88875</v>
      </c>
      <c r="O91" s="220">
        <f t="shared" si="19"/>
        <v>258500</v>
      </c>
      <c r="P91" s="84">
        <f t="shared" si="19"/>
        <v>74600</v>
      </c>
      <c r="Q91" s="84">
        <f t="shared" si="19"/>
        <v>265680.67</v>
      </c>
      <c r="R91" s="84">
        <f t="shared" si="19"/>
        <v>21100</v>
      </c>
      <c r="S91" s="84">
        <f t="shared" si="19"/>
        <v>240737</v>
      </c>
      <c r="T91" s="84">
        <f>SUM(B91:S91)</f>
        <v>8768754.770000001</v>
      </c>
      <c r="U91" s="91"/>
      <c r="V91" s="91"/>
    </row>
    <row r="92" spans="1:18" ht="16.5">
      <c r="A92" s="240"/>
      <c r="B92" s="240"/>
      <c r="C92" s="240"/>
      <c r="D92" s="13"/>
      <c r="N92" s="240"/>
      <c r="O92" s="240"/>
      <c r="P92" s="240"/>
      <c r="Q92" s="240"/>
      <c r="R92" s="240"/>
    </row>
  </sheetData>
  <sheetProtection/>
  <mergeCells count="13">
    <mergeCell ref="A92:C92"/>
    <mergeCell ref="N92:R92"/>
    <mergeCell ref="A1:T1"/>
    <mergeCell ref="A2:T2"/>
    <mergeCell ref="A3:T3"/>
    <mergeCell ref="B4:C4"/>
    <mergeCell ref="D4:E4"/>
    <mergeCell ref="L4:M4"/>
    <mergeCell ref="N4:O4"/>
    <mergeCell ref="T4:T5"/>
    <mergeCell ref="Q4:R4"/>
    <mergeCell ref="F4:G4"/>
    <mergeCell ref="J4:K4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</dc:creator>
  <cp:keywords/>
  <dc:description/>
  <cp:lastModifiedBy>DarkUser</cp:lastModifiedBy>
  <cp:lastPrinted>2014-05-12T08:41:28Z</cp:lastPrinted>
  <dcterms:created xsi:type="dcterms:W3CDTF">2004-02-04T07:28:13Z</dcterms:created>
  <dcterms:modified xsi:type="dcterms:W3CDTF">2014-06-13T08:38:46Z</dcterms:modified>
  <cp:category/>
  <cp:version/>
  <cp:contentType/>
  <cp:contentStatus/>
</cp:coreProperties>
</file>